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-15" yWindow="-15" windowWidth="24795" windowHeight="13740" activeTab="1"/>
  </bookViews>
  <sheets>
    <sheet name="bdt" sheetId="1" r:id="rId1"/>
    <sheet name="callable bond" sheetId="4" r:id="rId2"/>
    <sheet name="noncallable bond" sheetId="5" r:id="rId3"/>
    <sheet name="Negative Convexity" sheetId="8" r:id="rId4"/>
    <sheet name="swap" sheetId="6" r:id="rId5"/>
    <sheet name="Swaption" sheetId="7" r:id="rId6"/>
    <sheet name="OASrts" sheetId="9" r:id="rId7"/>
    <sheet name="OASComp" sheetId="10" r:id="rId8"/>
  </sheets>
  <definedNames>
    <definedName name="solver_adj" localSheetId="0" hidden="1">bdt!$Z$19,bdt!$Z$69</definedName>
    <definedName name="solver_adj" localSheetId="4" hidden="1">swap!$C$1</definedName>
    <definedName name="solver_cvg" localSheetId="0" hidden="1">0.0000000000000001</definedName>
    <definedName name="solver_cvg" localSheetId="4" hidden="1">0.00000000000000001</definedName>
    <definedName name="solver_drv" localSheetId="0" hidden="1">1</definedName>
    <definedName name="solver_drv" localSheetId="4" hidden="1">2</definedName>
    <definedName name="solver_eng" localSheetId="0" hidden="1">1</definedName>
    <definedName name="solver_eng" localSheetId="4" hidden="1">1</definedName>
    <definedName name="solver_est" localSheetId="0" hidden="1">1</definedName>
    <definedName name="solver_est" localSheetId="4" hidden="1">1</definedName>
    <definedName name="solver_itr" localSheetId="0" hidden="1">2147483647</definedName>
    <definedName name="solver_itr" localSheetId="4" hidden="1">2147483647</definedName>
    <definedName name="solver_lhs0" localSheetId="0" hidden="1">bdt!$X$67</definedName>
    <definedName name="solver_lhs1" localSheetId="0" hidden="1">bdt!$X$67</definedName>
    <definedName name="solver_lhs2" localSheetId="0" hidden="1">bdt!$W$66</definedName>
    <definedName name="solver_mip" localSheetId="0" hidden="1">2147483647</definedName>
    <definedName name="solver_mip" localSheetId="4" hidden="1">2147483647</definedName>
    <definedName name="solver_mni" localSheetId="0" hidden="1">30</definedName>
    <definedName name="solver_mni" localSheetId="4" hidden="1">30</definedName>
    <definedName name="solver_mrt" localSheetId="0" hidden="1">0.075</definedName>
    <definedName name="solver_mrt" localSheetId="4" hidden="1">0.075</definedName>
    <definedName name="solver_msl" localSheetId="0" hidden="1">2</definedName>
    <definedName name="solver_msl" localSheetId="4" hidden="1">2</definedName>
    <definedName name="solver_neg" localSheetId="0" hidden="1">1</definedName>
    <definedName name="solver_neg" localSheetId="4" hidden="1">1</definedName>
    <definedName name="solver_nod" localSheetId="0" hidden="1">2147483647</definedName>
    <definedName name="solver_nod" localSheetId="4" hidden="1">2147483647</definedName>
    <definedName name="solver_num" localSheetId="0" hidden="1">0</definedName>
    <definedName name="solver_num" localSheetId="4" hidden="1">0</definedName>
    <definedName name="solver_nwt" localSheetId="0" hidden="1">1</definedName>
    <definedName name="solver_nwt" localSheetId="4" hidden="1">1</definedName>
    <definedName name="solver_opt" localSheetId="0" hidden="1">bdt!$AD$804</definedName>
    <definedName name="solver_opt" localSheetId="4" hidden="1">swap!$A$44</definedName>
    <definedName name="solver_pre" localSheetId="0" hidden="1">0.000000000001</definedName>
    <definedName name="solver_pre" localSheetId="4" hidden="1">0.000001</definedName>
    <definedName name="solver_rbv" localSheetId="0" hidden="1">2</definedName>
    <definedName name="solver_rbv" localSheetId="4" hidden="1">1</definedName>
    <definedName name="solver_rel0" localSheetId="0" hidden="1">3</definedName>
    <definedName name="solver_rel1" localSheetId="0" hidden="1">3</definedName>
    <definedName name="solver_rel2" localSheetId="0" hidden="1">3</definedName>
    <definedName name="solver_rhs0" localSheetId="0" hidden="1">0.0000000000000001</definedName>
    <definedName name="solver_rhs1" localSheetId="0" hidden="1">0.0000000000000001</definedName>
    <definedName name="solver_rhs2" localSheetId="0" hidden="1">0.00000000001</definedName>
    <definedName name="solver_rlx" localSheetId="0" hidden="1">2</definedName>
    <definedName name="solver_rlx" localSheetId="4" hidden="1">2</definedName>
    <definedName name="solver_rsd" localSheetId="0" hidden="1">0</definedName>
    <definedName name="solver_rsd" localSheetId="4" hidden="1">0</definedName>
    <definedName name="solver_scl" localSheetId="0" hidden="1">1</definedName>
    <definedName name="solver_scl" localSheetId="4" hidden="1">1</definedName>
    <definedName name="solver_sho" localSheetId="0" hidden="1">2</definedName>
    <definedName name="solver_sho" localSheetId="4" hidden="1">2</definedName>
    <definedName name="solver_ssz" localSheetId="0" hidden="1">10000</definedName>
    <definedName name="solver_ssz" localSheetId="4" hidden="1">100</definedName>
    <definedName name="solver_tim" localSheetId="0" hidden="1">2147483647</definedName>
    <definedName name="solver_tim" localSheetId="4" hidden="1">2147483647</definedName>
    <definedName name="solver_tol" localSheetId="0" hidden="1">0.01</definedName>
    <definedName name="solver_tol" localSheetId="4" hidden="1">0.01</definedName>
    <definedName name="solver_typ" localSheetId="0" hidden="1">2</definedName>
    <definedName name="solver_typ" localSheetId="4" hidden="1">3</definedName>
    <definedName name="solver_val" localSheetId="0" hidden="1">0</definedName>
    <definedName name="solver_val" localSheetId="4" hidden="1">0</definedName>
    <definedName name="solver_ver" localSheetId="0" hidden="1">3</definedName>
    <definedName name="solver_ver" localSheetId="4" hidden="1">3</definedName>
  </definedNames>
  <calcPr calcId="145621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Z853" i="1" l="1"/>
  <c r="Z67" i="1"/>
  <c r="Z851" i="1" s="1"/>
  <c r="Y852" i="1" s="1"/>
  <c r="Z65" i="1"/>
  <c r="Z849" i="1" s="1"/>
  <c r="Y850" i="1" s="1"/>
  <c r="X851" i="1" s="1"/>
  <c r="Y66" i="1"/>
  <c r="Z63" i="1"/>
  <c r="Z847" i="1" s="1"/>
  <c r="Y64" i="1"/>
  <c r="X65" i="1"/>
  <c r="Z61" i="1"/>
  <c r="Z845" i="1" s="1"/>
  <c r="Y846" i="1" s="1"/>
  <c r="Y62" i="1"/>
  <c r="X63" i="1"/>
  <c r="W64" i="1"/>
  <c r="Z59" i="1"/>
  <c r="Z843" i="1" s="1"/>
  <c r="Y844" i="1" s="1"/>
  <c r="X845" i="1" s="1"/>
  <c r="Y60" i="1"/>
  <c r="X61" i="1"/>
  <c r="W62" i="1"/>
  <c r="V63" i="1"/>
  <c r="Z57" i="1"/>
  <c r="Z841" i="1" s="1"/>
  <c r="Y58" i="1"/>
  <c r="X59" i="1"/>
  <c r="W60" i="1"/>
  <c r="V61" i="1"/>
  <c r="U62" i="1"/>
  <c r="Z55" i="1"/>
  <c r="Z839" i="1" s="1"/>
  <c r="Y56" i="1"/>
  <c r="Y840" i="1"/>
  <c r="X57" i="1"/>
  <c r="W58" i="1"/>
  <c r="V59" i="1"/>
  <c r="U60" i="1"/>
  <c r="T61" i="1"/>
  <c r="Z53" i="1"/>
  <c r="Z837" i="1" s="1"/>
  <c r="Y54" i="1"/>
  <c r="X55" i="1"/>
  <c r="W56" i="1"/>
  <c r="V57" i="1"/>
  <c r="V633" i="1" s="1"/>
  <c r="U58" i="1"/>
  <c r="T59" i="1"/>
  <c r="S60" i="1"/>
  <c r="Z51" i="1"/>
  <c r="Z835" i="1" s="1"/>
  <c r="Y52" i="1"/>
  <c r="X53" i="1"/>
  <c r="W54" i="1"/>
  <c r="V55" i="1"/>
  <c r="U56" i="1"/>
  <c r="T57" i="1"/>
  <c r="S58" i="1"/>
  <c r="R59" i="1"/>
  <c r="Z49" i="1"/>
  <c r="Z833" i="1" s="1"/>
  <c r="Y834" i="1" s="1"/>
  <c r="Y50" i="1"/>
  <c r="X51" i="1"/>
  <c r="W52" i="1"/>
  <c r="V53" i="1"/>
  <c r="U54" i="1"/>
  <c r="T55" i="1"/>
  <c r="S56" i="1"/>
  <c r="R57" i="1"/>
  <c r="Q58" i="1"/>
  <c r="Z47" i="1"/>
  <c r="Z831" i="1" s="1"/>
  <c r="Y48" i="1"/>
  <c r="Y832" i="1"/>
  <c r="X833" i="1" s="1"/>
  <c r="X49" i="1"/>
  <c r="W50" i="1"/>
  <c r="V51" i="1"/>
  <c r="U52" i="1"/>
  <c r="T53" i="1"/>
  <c r="S54" i="1"/>
  <c r="R55" i="1"/>
  <c r="Q56" i="1"/>
  <c r="P57" i="1"/>
  <c r="Z45" i="1"/>
  <c r="Z829" i="1" s="1"/>
  <c r="Y830" i="1" s="1"/>
  <c r="Y46" i="1"/>
  <c r="X47" i="1"/>
  <c r="W48" i="1"/>
  <c r="V49" i="1"/>
  <c r="U50" i="1"/>
  <c r="T51" i="1"/>
  <c r="S52" i="1"/>
  <c r="R53" i="1"/>
  <c r="Q54" i="1"/>
  <c r="P55" i="1"/>
  <c r="O56" i="1"/>
  <c r="Z43" i="1"/>
  <c r="Z827" i="1" s="1"/>
  <c r="Y44" i="1"/>
  <c r="Y828" i="1"/>
  <c r="X829" i="1" s="1"/>
  <c r="X45" i="1"/>
  <c r="W46" i="1"/>
  <c r="V47" i="1"/>
  <c r="U48" i="1"/>
  <c r="T49" i="1"/>
  <c r="S50" i="1"/>
  <c r="R51" i="1"/>
  <c r="Q52" i="1"/>
  <c r="P53" i="1"/>
  <c r="O54" i="1"/>
  <c r="N55" i="1"/>
  <c r="Z41" i="1"/>
  <c r="Z825" i="1" s="1"/>
  <c r="Y42" i="1"/>
  <c r="X43" i="1"/>
  <c r="W44" i="1"/>
  <c r="V45" i="1"/>
  <c r="U46" i="1"/>
  <c r="T47" i="1"/>
  <c r="S48" i="1"/>
  <c r="R49" i="1"/>
  <c r="Q50" i="1"/>
  <c r="P51" i="1"/>
  <c r="O52" i="1"/>
  <c r="N53" i="1"/>
  <c r="M54" i="1"/>
  <c r="Z39" i="1"/>
  <c r="Z823" i="1" s="1"/>
  <c r="Y824" i="1" s="1"/>
  <c r="Y40" i="1"/>
  <c r="X41" i="1"/>
  <c r="W42" i="1"/>
  <c r="V43" i="1"/>
  <c r="U44" i="1"/>
  <c r="T45" i="1"/>
  <c r="S46" i="1"/>
  <c r="R47" i="1"/>
  <c r="Q48" i="1"/>
  <c r="P49" i="1"/>
  <c r="O50" i="1"/>
  <c r="N51" i="1"/>
  <c r="M52" i="1"/>
  <c r="L53" i="1"/>
  <c r="Z37" i="1"/>
  <c r="Z821" i="1" s="1"/>
  <c r="Y38" i="1"/>
  <c r="X39" i="1"/>
  <c r="W40" i="1"/>
  <c r="V41" i="1"/>
  <c r="U42" i="1"/>
  <c r="T43" i="1"/>
  <c r="S44" i="1"/>
  <c r="R45" i="1"/>
  <c r="Q46" i="1"/>
  <c r="P47" i="1"/>
  <c r="O48" i="1"/>
  <c r="N49" i="1"/>
  <c r="M50" i="1"/>
  <c r="L51" i="1"/>
  <c r="K52" i="1"/>
  <c r="Z35" i="1"/>
  <c r="Z819" i="1" s="1"/>
  <c r="Y820" i="1" s="1"/>
  <c r="Y36" i="1"/>
  <c r="X37" i="1"/>
  <c r="W38" i="1"/>
  <c r="V39" i="1"/>
  <c r="U40" i="1"/>
  <c r="T41" i="1"/>
  <c r="S42" i="1"/>
  <c r="R43" i="1"/>
  <c r="Q44" i="1"/>
  <c r="P45" i="1"/>
  <c r="O46" i="1"/>
  <c r="N47" i="1"/>
  <c r="M48" i="1"/>
  <c r="L49" i="1"/>
  <c r="K50" i="1"/>
  <c r="J51" i="1"/>
  <c r="Z33" i="1"/>
  <c r="Z817" i="1" s="1"/>
  <c r="Y818" i="1" s="1"/>
  <c r="X819" i="1" s="1"/>
  <c r="Y34" i="1"/>
  <c r="X35" i="1"/>
  <c r="W36" i="1"/>
  <c r="V37" i="1"/>
  <c r="U38" i="1"/>
  <c r="T39" i="1"/>
  <c r="S40" i="1"/>
  <c r="R41" i="1"/>
  <c r="R440" i="1" s="1"/>
  <c r="Q42" i="1"/>
  <c r="P43" i="1"/>
  <c r="O44" i="1"/>
  <c r="N45" i="1"/>
  <c r="N331" i="1" s="1"/>
  <c r="M330" i="1" s="1"/>
  <c r="M46" i="1"/>
  <c r="L47" i="1"/>
  <c r="K48" i="1"/>
  <c r="J49" i="1"/>
  <c r="I50" i="1"/>
  <c r="Z31" i="1"/>
  <c r="Z815" i="1" s="1"/>
  <c r="Y32" i="1"/>
  <c r="X33" i="1"/>
  <c r="W34" i="1"/>
  <c r="V35" i="1"/>
  <c r="U36" i="1"/>
  <c r="T37" i="1"/>
  <c r="S38" i="1"/>
  <c r="R39" i="1"/>
  <c r="Q40" i="1"/>
  <c r="P41" i="1"/>
  <c r="O42" i="1"/>
  <c r="N43" i="1"/>
  <c r="M44" i="1"/>
  <c r="L45" i="1"/>
  <c r="K46" i="1"/>
  <c r="J47" i="1"/>
  <c r="I48" i="1"/>
  <c r="H49" i="1"/>
  <c r="Z29" i="1"/>
  <c r="Z813" i="1" s="1"/>
  <c r="Y814" i="1" s="1"/>
  <c r="Y30" i="1"/>
  <c r="X31" i="1"/>
  <c r="W32" i="1"/>
  <c r="V33" i="1"/>
  <c r="U34" i="1"/>
  <c r="T35" i="1"/>
  <c r="S36" i="1"/>
  <c r="R37" i="1"/>
  <c r="Q38" i="1"/>
  <c r="P39" i="1"/>
  <c r="O40" i="1"/>
  <c r="N41" i="1"/>
  <c r="M42" i="1"/>
  <c r="L43" i="1"/>
  <c r="K44" i="1"/>
  <c r="J45" i="1"/>
  <c r="I46" i="1"/>
  <c r="H47" i="1"/>
  <c r="G48" i="1"/>
  <c r="Z27" i="1"/>
  <c r="Z811" i="1"/>
  <c r="Y28" i="1"/>
  <c r="Y812" i="1"/>
  <c r="X813" i="1" s="1"/>
  <c r="X29" i="1"/>
  <c r="W30" i="1"/>
  <c r="V31" i="1"/>
  <c r="U32" i="1"/>
  <c r="T33" i="1"/>
  <c r="S34" i="1"/>
  <c r="R35" i="1"/>
  <c r="Q36" i="1"/>
  <c r="P37" i="1"/>
  <c r="O38" i="1"/>
  <c r="N39" i="1"/>
  <c r="M40" i="1"/>
  <c r="L41" i="1"/>
  <c r="K42" i="1"/>
  <c r="J43" i="1"/>
  <c r="I44" i="1"/>
  <c r="H45" i="1"/>
  <c r="G46" i="1"/>
  <c r="F47" i="1"/>
  <c r="Z25" i="1"/>
  <c r="Z809" i="1" s="1"/>
  <c r="Y810" i="1" s="1"/>
  <c r="X811" i="1" s="1"/>
  <c r="W812" i="1" s="1"/>
  <c r="Y26" i="1"/>
  <c r="X27" i="1"/>
  <c r="W28" i="1"/>
  <c r="V29" i="1"/>
  <c r="U30" i="1"/>
  <c r="T31" i="1"/>
  <c r="S32" i="1"/>
  <c r="R33" i="1"/>
  <c r="R33" i="9" s="1"/>
  <c r="Q34" i="1"/>
  <c r="P35" i="1"/>
  <c r="O36" i="1"/>
  <c r="N37" i="1"/>
  <c r="N290" i="1" s="1"/>
  <c r="M291" i="1" s="1"/>
  <c r="L292" i="1" s="1"/>
  <c r="K293" i="1" s="1"/>
  <c r="M38" i="1"/>
  <c r="L39" i="1"/>
  <c r="K40" i="1"/>
  <c r="J41" i="1"/>
  <c r="J181" i="1" s="1"/>
  <c r="I42" i="1"/>
  <c r="H43" i="1"/>
  <c r="G44" i="1"/>
  <c r="F45" i="1"/>
  <c r="F104" i="1" s="1"/>
  <c r="E46" i="1"/>
  <c r="Z23" i="1"/>
  <c r="Z807" i="1"/>
  <c r="Y24" i="1"/>
  <c r="X25" i="1"/>
  <c r="W26" i="1"/>
  <c r="V27" i="1"/>
  <c r="U28" i="1"/>
  <c r="T29" i="1"/>
  <c r="S30" i="1"/>
  <c r="R31" i="1"/>
  <c r="Q32" i="1"/>
  <c r="P33" i="1"/>
  <c r="O34" i="1"/>
  <c r="N35" i="1"/>
  <c r="M36" i="1"/>
  <c r="L37" i="1"/>
  <c r="K38" i="1"/>
  <c r="J39" i="1"/>
  <c r="I40" i="1"/>
  <c r="H41" i="1"/>
  <c r="G42" i="1"/>
  <c r="F43" i="1"/>
  <c r="E44" i="1"/>
  <c r="D45" i="1"/>
  <c r="Z21" i="1"/>
  <c r="Z805" i="1"/>
  <c r="Y22" i="1"/>
  <c r="X23" i="1"/>
  <c r="W24" i="1"/>
  <c r="V25" i="1"/>
  <c r="U26" i="1"/>
  <c r="T27" i="1"/>
  <c r="S28" i="1"/>
  <c r="R29" i="1"/>
  <c r="Q30" i="1"/>
  <c r="P31" i="1"/>
  <c r="O32" i="1"/>
  <c r="N33" i="1"/>
  <c r="M34" i="1"/>
  <c r="L35" i="1"/>
  <c r="K36" i="1"/>
  <c r="J37" i="1"/>
  <c r="I38" i="1"/>
  <c r="H39" i="1"/>
  <c r="G40" i="1"/>
  <c r="F41" i="1"/>
  <c r="E42" i="1"/>
  <c r="D43" i="1"/>
  <c r="C44" i="1"/>
  <c r="Z803" i="1"/>
  <c r="Y804" i="1"/>
  <c r="A44" i="1"/>
  <c r="AC802" i="1"/>
  <c r="AD802" i="1" s="1"/>
  <c r="D27" i="1"/>
  <c r="Y797" i="1"/>
  <c r="Y795" i="1"/>
  <c r="X796" i="1" s="1"/>
  <c r="Y793" i="1"/>
  <c r="X794" i="1" s="1"/>
  <c r="W795" i="1" s="1"/>
  <c r="Y791" i="1"/>
  <c r="X792" i="1"/>
  <c r="Y789" i="1"/>
  <c r="X790" i="1"/>
  <c r="W791" i="1" s="1"/>
  <c r="Y787" i="1"/>
  <c r="X788" i="1" s="1"/>
  <c r="W789" i="1" s="1"/>
  <c r="V790" i="1" s="1"/>
  <c r="Y785" i="1"/>
  <c r="X786" i="1" s="1"/>
  <c r="Y783" i="1"/>
  <c r="X784" i="1"/>
  <c r="W785" i="1" s="1"/>
  <c r="Y781" i="1"/>
  <c r="X782" i="1"/>
  <c r="W783" i="1" s="1"/>
  <c r="V784" i="1" s="1"/>
  <c r="Y779" i="1"/>
  <c r="X780" i="1" s="1"/>
  <c r="Y777" i="1"/>
  <c r="X778" i="1" s="1"/>
  <c r="W779" i="1" s="1"/>
  <c r="Y775" i="1"/>
  <c r="X776" i="1"/>
  <c r="Y773" i="1"/>
  <c r="X774" i="1"/>
  <c r="W775" i="1" s="1"/>
  <c r="Y771" i="1"/>
  <c r="X772" i="1" s="1"/>
  <c r="W773" i="1"/>
  <c r="V774" i="1" s="1"/>
  <c r="Y769" i="1"/>
  <c r="X770" i="1" s="1"/>
  <c r="W771" i="1" s="1"/>
  <c r="Y767" i="1"/>
  <c r="X768" i="1"/>
  <c r="W769" i="1" s="1"/>
  <c r="V770" i="1" s="1"/>
  <c r="Y765" i="1"/>
  <c r="X766" i="1"/>
  <c r="Y763" i="1"/>
  <c r="X764" i="1" s="1"/>
  <c r="W765" i="1" s="1"/>
  <c r="Y761" i="1"/>
  <c r="Y759" i="1"/>
  <c r="X760" i="1"/>
  <c r="Y757" i="1"/>
  <c r="X758" i="1"/>
  <c r="W759" i="1" s="1"/>
  <c r="Y755" i="1"/>
  <c r="X756" i="1" s="1"/>
  <c r="W757" i="1"/>
  <c r="Y753" i="1"/>
  <c r="X754" i="1" s="1"/>
  <c r="W755" i="1"/>
  <c r="V756" i="1"/>
  <c r="Y751" i="1"/>
  <c r="Y749" i="1"/>
  <c r="X750" i="1"/>
  <c r="AB748" i="1"/>
  <c r="AC748" i="1" s="1"/>
  <c r="D26" i="1"/>
  <c r="X743" i="1"/>
  <c r="W742" i="1" s="1"/>
  <c r="X741" i="1"/>
  <c r="X739" i="1"/>
  <c r="W740" i="1" s="1"/>
  <c r="V741" i="1" s="1"/>
  <c r="X737" i="1"/>
  <c r="W738" i="1"/>
  <c r="V739" i="1" s="1"/>
  <c r="U740" i="1" s="1"/>
  <c r="X735" i="1"/>
  <c r="W736" i="1"/>
  <c r="V737" i="1" s="1"/>
  <c r="U738" i="1" s="1"/>
  <c r="T739" i="1" s="1"/>
  <c r="X733" i="1"/>
  <c r="X731" i="1"/>
  <c r="X729" i="1"/>
  <c r="W730" i="1" s="1"/>
  <c r="X727" i="1"/>
  <c r="W728" i="1" s="1"/>
  <c r="V729" i="1" s="1"/>
  <c r="X725" i="1"/>
  <c r="X723" i="1"/>
  <c r="W724" i="1" s="1"/>
  <c r="X721" i="1"/>
  <c r="X719" i="1"/>
  <c r="W720" i="1"/>
  <c r="X717" i="1"/>
  <c r="W718" i="1" s="1"/>
  <c r="X715" i="1"/>
  <c r="W716" i="1" s="1"/>
  <c r="V717" i="1"/>
  <c r="X713" i="1"/>
  <c r="W714" i="1" s="1"/>
  <c r="V715" i="1" s="1"/>
  <c r="U716" i="1" s="1"/>
  <c r="X711" i="1"/>
  <c r="W712" i="1" s="1"/>
  <c r="X709" i="1"/>
  <c r="X707" i="1"/>
  <c r="X705" i="1"/>
  <c r="W706" i="1" s="1"/>
  <c r="X703" i="1"/>
  <c r="X701" i="1"/>
  <c r="X697" i="1"/>
  <c r="D25" i="1"/>
  <c r="W691" i="1"/>
  <c r="W689" i="1"/>
  <c r="V690" i="1" s="1"/>
  <c r="W687" i="1"/>
  <c r="V688" i="1" s="1"/>
  <c r="U689" i="1"/>
  <c r="W685" i="1"/>
  <c r="V686" i="1"/>
  <c r="W683" i="1"/>
  <c r="V684" i="1"/>
  <c r="U685" i="1" s="1"/>
  <c r="W681" i="1"/>
  <c r="W679" i="1"/>
  <c r="V680" i="1" s="1"/>
  <c r="W677" i="1"/>
  <c r="V678" i="1"/>
  <c r="U679" i="1" s="1"/>
  <c r="W675" i="1"/>
  <c r="V676" i="1"/>
  <c r="W673" i="1"/>
  <c r="V674" i="1" s="1"/>
  <c r="W671" i="1"/>
  <c r="V672" i="1" s="1"/>
  <c r="U673" i="1" s="1"/>
  <c r="W669" i="1"/>
  <c r="V670" i="1"/>
  <c r="W667" i="1"/>
  <c r="V668" i="1"/>
  <c r="U669" i="1" s="1"/>
  <c r="W665" i="1"/>
  <c r="V666" i="1" s="1"/>
  <c r="U667" i="1"/>
  <c r="T668" i="1" s="1"/>
  <c r="W663" i="1"/>
  <c r="V664" i="1" s="1"/>
  <c r="U665" i="1" s="1"/>
  <c r="T666" i="1" s="1"/>
  <c r="S667" i="1" s="1"/>
  <c r="W661" i="1"/>
  <c r="W659" i="1"/>
  <c r="V660" i="1"/>
  <c r="W657" i="1"/>
  <c r="V658" i="1" s="1"/>
  <c r="U659" i="1" s="1"/>
  <c r="W655" i="1"/>
  <c r="W653" i="1"/>
  <c r="W651" i="1"/>
  <c r="V652" i="1" s="1"/>
  <c r="W649" i="1"/>
  <c r="V650" i="1" s="1"/>
  <c r="U651" i="1"/>
  <c r="W647" i="1"/>
  <c r="V648" i="1" s="1"/>
  <c r="Z646" i="1"/>
  <c r="AA646" i="1"/>
  <c r="D24" i="1"/>
  <c r="V641" i="1"/>
  <c r="V639" i="1"/>
  <c r="V637" i="1"/>
  <c r="U638" i="1"/>
  <c r="V635" i="1"/>
  <c r="U636" i="1" s="1"/>
  <c r="T637" i="1" s="1"/>
  <c r="V631" i="1"/>
  <c r="V629" i="1"/>
  <c r="U630" i="1" s="1"/>
  <c r="V627" i="1"/>
  <c r="U628" i="1" s="1"/>
  <c r="V625" i="1"/>
  <c r="U626" i="1" s="1"/>
  <c r="T627" i="1" s="1"/>
  <c r="V623" i="1"/>
  <c r="V621" i="1"/>
  <c r="U622" i="1"/>
  <c r="V619" i="1"/>
  <c r="U620" i="1"/>
  <c r="T621" i="1"/>
  <c r="V617" i="1"/>
  <c r="U618" i="1" s="1"/>
  <c r="T619" i="1"/>
  <c r="V615" i="1"/>
  <c r="U616" i="1"/>
  <c r="T617" i="1" s="1"/>
  <c r="S618" i="1" s="1"/>
  <c r="V611" i="1"/>
  <c r="V609" i="1"/>
  <c r="U610" i="1" s="1"/>
  <c r="V607" i="1"/>
  <c r="U608" i="1" s="1"/>
  <c r="T609" i="1" s="1"/>
  <c r="V603" i="1"/>
  <c r="V601" i="1"/>
  <c r="U602" i="1"/>
  <c r="V599" i="1"/>
  <c r="U600" i="1"/>
  <c r="T601" i="1" s="1"/>
  <c r="Y598" i="1"/>
  <c r="Z598" i="1"/>
  <c r="D23" i="1"/>
  <c r="U593" i="1"/>
  <c r="T592" i="1" s="1"/>
  <c r="U591" i="1"/>
  <c r="U589" i="1"/>
  <c r="T590" i="1"/>
  <c r="U587" i="1"/>
  <c r="T588" i="1"/>
  <c r="U585" i="1"/>
  <c r="T586" i="1"/>
  <c r="S587" i="1"/>
  <c r="U583" i="1"/>
  <c r="T582" i="1" s="1"/>
  <c r="T584" i="1"/>
  <c r="S585" i="1" s="1"/>
  <c r="R586" i="1" s="1"/>
  <c r="U581" i="1"/>
  <c r="U579" i="1"/>
  <c r="T580" i="1" s="1"/>
  <c r="S581" i="1" s="1"/>
  <c r="U577" i="1"/>
  <c r="U575" i="1"/>
  <c r="U573" i="1"/>
  <c r="T574" i="1"/>
  <c r="U571" i="1"/>
  <c r="T572" i="1"/>
  <c r="S573" i="1"/>
  <c r="U569" i="1"/>
  <c r="T570" i="1"/>
  <c r="S571" i="1"/>
  <c r="U567" i="1"/>
  <c r="T566" i="1" s="1"/>
  <c r="S567" i="1" s="1"/>
  <c r="T568" i="1"/>
  <c r="S569" i="1" s="1"/>
  <c r="U565" i="1"/>
  <c r="R568" i="1"/>
  <c r="U563" i="1"/>
  <c r="T564" i="1" s="1"/>
  <c r="U561" i="1"/>
  <c r="T562" i="1" s="1"/>
  <c r="S563" i="1" s="1"/>
  <c r="U559" i="1"/>
  <c r="T560" i="1" s="1"/>
  <c r="S561" i="1" s="1"/>
  <c r="U557" i="1"/>
  <c r="T558" i="1"/>
  <c r="S557" i="1" s="1"/>
  <c r="U555" i="1"/>
  <c r="T556" i="1"/>
  <c r="U553" i="1"/>
  <c r="T554" i="1"/>
  <c r="S555" i="1"/>
  <c r="X552" i="1"/>
  <c r="Y552" i="1"/>
  <c r="D22" i="1"/>
  <c r="T547" i="1"/>
  <c r="S546" i="1" s="1"/>
  <c r="T545" i="1"/>
  <c r="T543" i="1"/>
  <c r="S544" i="1"/>
  <c r="T541" i="1"/>
  <c r="S542" i="1"/>
  <c r="R543" i="1"/>
  <c r="T539" i="1"/>
  <c r="S540" i="1"/>
  <c r="R541" i="1"/>
  <c r="T537" i="1"/>
  <c r="S536" i="1" s="1"/>
  <c r="R537" i="1" s="1"/>
  <c r="S538" i="1"/>
  <c r="R539" i="1" s="1"/>
  <c r="Q540" i="1" s="1"/>
  <c r="T535" i="1"/>
  <c r="Q538" i="1"/>
  <c r="P539" i="1" s="1"/>
  <c r="T533" i="1"/>
  <c r="S534" i="1" s="1"/>
  <c r="R535" i="1" s="1"/>
  <c r="Q536" i="1" s="1"/>
  <c r="P537" i="1"/>
  <c r="O538" i="1" s="1"/>
  <c r="T531" i="1"/>
  <c r="T529" i="1"/>
  <c r="S530" i="1" s="1"/>
  <c r="T527" i="1"/>
  <c r="S528" i="1"/>
  <c r="T525" i="1"/>
  <c r="S526" i="1" s="1"/>
  <c r="T523" i="1"/>
  <c r="S524" i="1" s="1"/>
  <c r="T521" i="1"/>
  <c r="S522" i="1"/>
  <c r="R523" i="1" s="1"/>
  <c r="T519" i="1"/>
  <c r="S520" i="1" s="1"/>
  <c r="R521" i="1" s="1"/>
  <c r="Q522" i="1" s="1"/>
  <c r="T517" i="1"/>
  <c r="S518" i="1" s="1"/>
  <c r="R519" i="1" s="1"/>
  <c r="Q520" i="1" s="1"/>
  <c r="P521" i="1" s="1"/>
  <c r="T515" i="1"/>
  <c r="T513" i="1"/>
  <c r="T511" i="1"/>
  <c r="S512" i="1"/>
  <c r="T509" i="1"/>
  <c r="S510" i="1"/>
  <c r="W508" i="1"/>
  <c r="X508" i="1" s="1"/>
  <c r="D21" i="1"/>
  <c r="S502" i="1"/>
  <c r="S500" i="1"/>
  <c r="R501" i="1" s="1"/>
  <c r="S498" i="1"/>
  <c r="R499" i="1" s="1"/>
  <c r="Q500" i="1"/>
  <c r="S496" i="1"/>
  <c r="R497" i="1" s="1"/>
  <c r="S494" i="1"/>
  <c r="R495" i="1" s="1"/>
  <c r="Q496" i="1" s="1"/>
  <c r="S492" i="1"/>
  <c r="R493" i="1" s="1"/>
  <c r="S490" i="1"/>
  <c r="R491" i="1" s="1"/>
  <c r="Q492" i="1" s="1"/>
  <c r="S488" i="1"/>
  <c r="S486" i="1"/>
  <c r="R487" i="1"/>
  <c r="S484" i="1"/>
  <c r="R485" i="1" s="1"/>
  <c r="Q486" i="1" s="1"/>
  <c r="S482" i="1"/>
  <c r="S480" i="1"/>
  <c r="S478" i="1"/>
  <c r="S476" i="1"/>
  <c r="S474" i="1"/>
  <c r="R475" i="1"/>
  <c r="S472" i="1"/>
  <c r="S470" i="1"/>
  <c r="R471" i="1"/>
  <c r="S468" i="1"/>
  <c r="R467" i="1" s="1"/>
  <c r="Q468" i="1" s="1"/>
  <c r="P469" i="1" s="1"/>
  <c r="R469" i="1"/>
  <c r="Q470" i="1" s="1"/>
  <c r="S466" i="1"/>
  <c r="V465" i="1"/>
  <c r="W465" i="1" s="1"/>
  <c r="D20" i="1"/>
  <c r="R460" i="1"/>
  <c r="R458" i="1"/>
  <c r="Q459" i="1"/>
  <c r="R456" i="1"/>
  <c r="Q457" i="1" s="1"/>
  <c r="P458" i="1" s="1"/>
  <c r="R454" i="1"/>
  <c r="R452" i="1"/>
  <c r="Q453" i="1"/>
  <c r="R450" i="1"/>
  <c r="R448" i="1"/>
  <c r="R446" i="1"/>
  <c r="Q447" i="1"/>
  <c r="R444" i="1"/>
  <c r="Q445" i="1"/>
  <c r="P446" i="1"/>
  <c r="R442" i="1"/>
  <c r="Q443" i="1"/>
  <c r="P444" i="1"/>
  <c r="O445" i="1" s="1"/>
  <c r="R438" i="1"/>
  <c r="R436" i="1"/>
  <c r="Q437" i="1"/>
  <c r="R434" i="1"/>
  <c r="Q435" i="1" s="1"/>
  <c r="R430" i="1"/>
  <c r="R428" i="1"/>
  <c r="Q429" i="1"/>
  <c r="R426" i="1"/>
  <c r="Q427" i="1"/>
  <c r="P428" i="1"/>
  <c r="U425" i="1"/>
  <c r="V425" i="1" s="1"/>
  <c r="D19" i="1"/>
  <c r="Q420" i="1"/>
  <c r="Q418" i="1"/>
  <c r="P419" i="1"/>
  <c r="Q416" i="1"/>
  <c r="P417" i="1" s="1"/>
  <c r="O418" i="1" s="1"/>
  <c r="Q414" i="1"/>
  <c r="P415" i="1"/>
  <c r="O416" i="1" s="1"/>
  <c r="N417" i="1" s="1"/>
  <c r="Q412" i="1"/>
  <c r="P413" i="1"/>
  <c r="Q410" i="1"/>
  <c r="Q408" i="1"/>
  <c r="Q406" i="1"/>
  <c r="P407" i="1"/>
  <c r="Q404" i="1"/>
  <c r="P405" i="1"/>
  <c r="O406" i="1"/>
  <c r="Q402" i="1"/>
  <c r="P403" i="1"/>
  <c r="O404" i="1"/>
  <c r="Q400" i="1"/>
  <c r="P401" i="1" s="1"/>
  <c r="O402" i="1" s="1"/>
  <c r="N403" i="1" s="1"/>
  <c r="Q398" i="1"/>
  <c r="P399" i="1"/>
  <c r="O400" i="1" s="1"/>
  <c r="N401" i="1" s="1"/>
  <c r="M402" i="1" s="1"/>
  <c r="Q396" i="1"/>
  <c r="P397" i="1"/>
  <c r="O398" i="1" s="1"/>
  <c r="N399" i="1" s="1"/>
  <c r="M400" i="1" s="1"/>
  <c r="L401" i="1" s="1"/>
  <c r="Q394" i="1"/>
  <c r="Q392" i="1"/>
  <c r="Q390" i="1"/>
  <c r="P391" i="1"/>
  <c r="Q388" i="1"/>
  <c r="P389" i="1" s="1"/>
  <c r="O390" i="1" s="1"/>
  <c r="T387" i="1"/>
  <c r="U387" i="1"/>
  <c r="D18" i="1"/>
  <c r="P381" i="1"/>
  <c r="P379" i="1"/>
  <c r="P377" i="1"/>
  <c r="P375" i="1"/>
  <c r="O376" i="1"/>
  <c r="P373" i="1"/>
  <c r="O374" i="1"/>
  <c r="N375" i="1"/>
  <c r="P371" i="1"/>
  <c r="O372" i="1"/>
  <c r="N373" i="1"/>
  <c r="M374" i="1" s="1"/>
  <c r="P369" i="1"/>
  <c r="O370" i="1" s="1"/>
  <c r="N371" i="1" s="1"/>
  <c r="P367" i="1"/>
  <c r="O368" i="1"/>
  <c r="N369" i="1" s="1"/>
  <c r="M370" i="1" s="1"/>
  <c r="P365" i="1"/>
  <c r="O366" i="1"/>
  <c r="P363" i="1"/>
  <c r="P361" i="1"/>
  <c r="P359" i="1"/>
  <c r="O360" i="1"/>
  <c r="P357" i="1"/>
  <c r="O358" i="1" s="1"/>
  <c r="P355" i="1"/>
  <c r="O356" i="1"/>
  <c r="P353" i="1"/>
  <c r="O354" i="1" s="1"/>
  <c r="N355" i="1" s="1"/>
  <c r="P351" i="1"/>
  <c r="O352" i="1"/>
  <c r="N353" i="1" s="1"/>
  <c r="M354" i="1" s="1"/>
  <c r="S350" i="1"/>
  <c r="T350" i="1"/>
  <c r="D17" i="1"/>
  <c r="O344" i="1"/>
  <c r="O342" i="1"/>
  <c r="N343" i="1" s="1"/>
  <c r="O340" i="1"/>
  <c r="O338" i="1"/>
  <c r="O336" i="1"/>
  <c r="N337" i="1"/>
  <c r="O334" i="1"/>
  <c r="N335" i="1" s="1"/>
  <c r="M336" i="1" s="1"/>
  <c r="O332" i="1"/>
  <c r="N333" i="1"/>
  <c r="M334" i="1" s="1"/>
  <c r="L335" i="1" s="1"/>
  <c r="O330" i="1"/>
  <c r="O328" i="1"/>
  <c r="N329" i="1" s="1"/>
  <c r="O326" i="1"/>
  <c r="N327" i="1"/>
  <c r="M328" i="1" s="1"/>
  <c r="O324" i="1"/>
  <c r="N325" i="1" s="1"/>
  <c r="M326" i="1" s="1"/>
  <c r="L327" i="1" s="1"/>
  <c r="O322" i="1"/>
  <c r="O320" i="1"/>
  <c r="N321" i="1" s="1"/>
  <c r="O318" i="1"/>
  <c r="N319" i="1" s="1"/>
  <c r="M320" i="1" s="1"/>
  <c r="O316" i="1"/>
  <c r="N317" i="1"/>
  <c r="R315" i="1"/>
  <c r="S315" i="1" s="1"/>
  <c r="D16" i="1"/>
  <c r="N310" i="1"/>
  <c r="N308" i="1"/>
  <c r="N306" i="1"/>
  <c r="N304" i="1"/>
  <c r="M305" i="1" s="1"/>
  <c r="N302" i="1"/>
  <c r="M303" i="1" s="1"/>
  <c r="L304" i="1" s="1"/>
  <c r="N300" i="1"/>
  <c r="M301" i="1" s="1"/>
  <c r="L302" i="1"/>
  <c r="K303" i="1" s="1"/>
  <c r="N296" i="1"/>
  <c r="N294" i="1"/>
  <c r="M295" i="1"/>
  <c r="N292" i="1"/>
  <c r="M293" i="1" s="1"/>
  <c r="L294" i="1" s="1"/>
  <c r="N288" i="1"/>
  <c r="N286" i="1"/>
  <c r="M287" i="1" s="1"/>
  <c r="N284" i="1"/>
  <c r="M285" i="1" s="1"/>
  <c r="L286" i="1"/>
  <c r="Q283" i="1"/>
  <c r="R283" i="1" s="1"/>
  <c r="D15" i="1"/>
  <c r="M278" i="1"/>
  <c r="M276" i="1"/>
  <c r="L277" i="1" s="1"/>
  <c r="M274" i="1"/>
  <c r="L275" i="1" s="1"/>
  <c r="K276" i="1" s="1"/>
  <c r="M272" i="1"/>
  <c r="L273" i="1"/>
  <c r="K274" i="1" s="1"/>
  <c r="J275" i="1" s="1"/>
  <c r="M270" i="1"/>
  <c r="L271" i="1"/>
  <c r="M268" i="1"/>
  <c r="M266" i="1"/>
  <c r="M264" i="1"/>
  <c r="L265" i="1" s="1"/>
  <c r="M262" i="1"/>
  <c r="L263" i="1" s="1"/>
  <c r="M260" i="1"/>
  <c r="L261" i="1" s="1"/>
  <c r="K262" i="1" s="1"/>
  <c r="M258" i="1"/>
  <c r="L259" i="1" s="1"/>
  <c r="M256" i="1"/>
  <c r="L257" i="1"/>
  <c r="K258" i="1" s="1"/>
  <c r="M254" i="1"/>
  <c r="L255" i="1"/>
  <c r="K256" i="1" s="1"/>
  <c r="J257" i="1" s="1"/>
  <c r="P253" i="1"/>
  <c r="Q253" i="1" s="1"/>
  <c r="D14" i="1"/>
  <c r="L248" i="1"/>
  <c r="L246" i="1"/>
  <c r="K247" i="1"/>
  <c r="L244" i="1"/>
  <c r="K245" i="1" s="1"/>
  <c r="J246" i="1" s="1"/>
  <c r="L242" i="1"/>
  <c r="K243" i="1"/>
  <c r="J244" i="1" s="1"/>
  <c r="I245" i="1" s="1"/>
  <c r="L240" i="1"/>
  <c r="K241" i="1"/>
  <c r="L238" i="1"/>
  <c r="L236" i="1"/>
  <c r="L234" i="1"/>
  <c r="K235" i="1"/>
  <c r="L232" i="1"/>
  <c r="K233" i="1"/>
  <c r="L230" i="1"/>
  <c r="K231" i="1" s="1"/>
  <c r="J232" i="1" s="1"/>
  <c r="L228" i="1"/>
  <c r="K229" i="1" s="1"/>
  <c r="L226" i="1"/>
  <c r="K227" i="1"/>
  <c r="J228" i="1" s="1"/>
  <c r="O225" i="1"/>
  <c r="P225" i="1"/>
  <c r="D13" i="1"/>
  <c r="K220" i="1"/>
  <c r="K218" i="1"/>
  <c r="J219" i="1" s="1"/>
  <c r="K216" i="1"/>
  <c r="J217" i="1"/>
  <c r="I218" i="1" s="1"/>
  <c r="K214" i="1"/>
  <c r="K212" i="1"/>
  <c r="J213" i="1" s="1"/>
  <c r="K210" i="1"/>
  <c r="J211" i="1"/>
  <c r="I212" i="1" s="1"/>
  <c r="K208" i="1"/>
  <c r="J209" i="1"/>
  <c r="K206" i="1"/>
  <c r="K204" i="1"/>
  <c r="K202" i="1"/>
  <c r="J203" i="1" s="1"/>
  <c r="K200" i="1"/>
  <c r="J201" i="1"/>
  <c r="I202" i="1" s="1"/>
  <c r="N199" i="1"/>
  <c r="O199" i="1" s="1"/>
  <c r="D12" i="1"/>
  <c r="J193" i="1"/>
  <c r="J191" i="1"/>
  <c r="I192" i="1" s="1"/>
  <c r="J187" i="1"/>
  <c r="J185" i="1"/>
  <c r="I186" i="1" s="1"/>
  <c r="J183" i="1"/>
  <c r="I184" i="1" s="1"/>
  <c r="H185" i="1" s="1"/>
  <c r="J179" i="1"/>
  <c r="J177" i="1"/>
  <c r="I178" i="1"/>
  <c r="J175" i="1"/>
  <c r="I176" i="1" s="1"/>
  <c r="M174" i="1"/>
  <c r="N174" i="1"/>
  <c r="D11" i="1"/>
  <c r="I168" i="1"/>
  <c r="I166" i="1"/>
  <c r="I164" i="1"/>
  <c r="I162" i="1"/>
  <c r="H163" i="1"/>
  <c r="I160" i="1"/>
  <c r="H161" i="1" s="1"/>
  <c r="G162" i="1" s="1"/>
  <c r="I158" i="1"/>
  <c r="H159" i="1" s="1"/>
  <c r="G160" i="1"/>
  <c r="I156" i="1"/>
  <c r="H157" i="1" s="1"/>
  <c r="G158" i="1" s="1"/>
  <c r="I154" i="1"/>
  <c r="H155" i="1"/>
  <c r="G156" i="1" s="1"/>
  <c r="F157" i="1" s="1"/>
  <c r="I152" i="1"/>
  <c r="H153" i="1"/>
  <c r="L151" i="1"/>
  <c r="M151" i="1" s="1"/>
  <c r="D10" i="1"/>
  <c r="H145" i="1"/>
  <c r="H143" i="1"/>
  <c r="G144" i="1" s="1"/>
  <c r="H141" i="1"/>
  <c r="G142" i="1" s="1"/>
  <c r="F143" i="1" s="1"/>
  <c r="H139" i="1"/>
  <c r="H137" i="1"/>
  <c r="G138" i="1"/>
  <c r="H135" i="1"/>
  <c r="H133" i="1"/>
  <c r="H131" i="1"/>
  <c r="G132" i="1" s="1"/>
  <c r="K130" i="1"/>
  <c r="L130" i="1" s="1"/>
  <c r="D9" i="1"/>
  <c r="G125" i="1"/>
  <c r="G123" i="1"/>
  <c r="F124" i="1"/>
  <c r="G121" i="1"/>
  <c r="F122" i="1" s="1"/>
  <c r="G119" i="1"/>
  <c r="F120" i="1" s="1"/>
  <c r="E121" i="1" s="1"/>
  <c r="G117" i="1"/>
  <c r="G115" i="1"/>
  <c r="F116" i="1" s="1"/>
  <c r="G113" i="1"/>
  <c r="F114" i="1"/>
  <c r="E115" i="1" s="1"/>
  <c r="J112" i="1"/>
  <c r="K112" i="1"/>
  <c r="D8" i="1"/>
  <c r="F108" i="1"/>
  <c r="F106" i="1"/>
  <c r="E107" i="1" s="1"/>
  <c r="F102" i="1"/>
  <c r="F100" i="1"/>
  <c r="E101" i="1" s="1"/>
  <c r="F98" i="1"/>
  <c r="E99" i="1"/>
  <c r="I97" i="1"/>
  <c r="J97" i="1" s="1"/>
  <c r="D7" i="1"/>
  <c r="E93" i="1"/>
  <c r="E91" i="1"/>
  <c r="D92" i="1" s="1"/>
  <c r="E89" i="1"/>
  <c r="D90" i="1" s="1"/>
  <c r="C91" i="1" s="1"/>
  <c r="E87" i="1"/>
  <c r="D88" i="1"/>
  <c r="C89" i="1" s="1"/>
  <c r="B90" i="1" s="1"/>
  <c r="E85" i="1"/>
  <c r="D86" i="1"/>
  <c r="H84" i="1"/>
  <c r="I84" i="1" s="1"/>
  <c r="D6" i="1"/>
  <c r="D80" i="1"/>
  <c r="D78" i="1"/>
  <c r="C79" i="1"/>
  <c r="D76" i="1"/>
  <c r="C77" i="1" s="1"/>
  <c r="B78" i="1" s="1"/>
  <c r="D74" i="1"/>
  <c r="C75" i="1"/>
  <c r="B76" i="1" s="1"/>
  <c r="A77" i="1" s="1"/>
  <c r="G73" i="1"/>
  <c r="H73" i="1"/>
  <c r="D5" i="1"/>
  <c r="H74" i="1" s="1"/>
  <c r="C70" i="1"/>
  <c r="C68" i="1"/>
  <c r="B69" i="1" s="1"/>
  <c r="C66" i="1"/>
  <c r="B67" i="1"/>
  <c r="F65" i="1"/>
  <c r="G65" i="1"/>
  <c r="D4" i="1"/>
  <c r="B62" i="1"/>
  <c r="E59" i="1"/>
  <c r="F59" i="1" s="1"/>
  <c r="B60" i="1"/>
  <c r="A61" i="1"/>
  <c r="D3" i="1"/>
  <c r="I117" i="4"/>
  <c r="Y22" i="4"/>
  <c r="Y36" i="4"/>
  <c r="X37" i="4" s="1"/>
  <c r="Y38" i="4"/>
  <c r="Y52" i="4"/>
  <c r="Y54" i="4"/>
  <c r="Y68" i="4"/>
  <c r="C111" i="4"/>
  <c r="E100" i="4"/>
  <c r="L86" i="4"/>
  <c r="Z69" i="4"/>
  <c r="Z67" i="4"/>
  <c r="Z65" i="4"/>
  <c r="Y66" i="4" s="1"/>
  <c r="X67" i="4" s="1"/>
  <c r="Z63" i="4"/>
  <c r="Z61" i="4"/>
  <c r="Y62" i="4" s="1"/>
  <c r="Z59" i="4"/>
  <c r="Y60" i="4" s="1"/>
  <c r="Z57" i="4"/>
  <c r="Y58" i="4" s="1"/>
  <c r="X59" i="4" s="1"/>
  <c r="Z55" i="4"/>
  <c r="Z53" i="4"/>
  <c r="Z51" i="4"/>
  <c r="Z49" i="4"/>
  <c r="Y50" i="4" s="1"/>
  <c r="X51" i="4" s="1"/>
  <c r="Z47" i="4"/>
  <c r="Z45" i="4"/>
  <c r="Y46" i="4" s="1"/>
  <c r="Z43" i="4"/>
  <c r="Y44" i="4" s="1"/>
  <c r="Z41" i="4"/>
  <c r="Y42" i="4" s="1"/>
  <c r="X43" i="4" s="1"/>
  <c r="Z39" i="4"/>
  <c r="Z37" i="4"/>
  <c r="Z35" i="4"/>
  <c r="Z33" i="4"/>
  <c r="Y34" i="4" s="1"/>
  <c r="X35" i="4" s="1"/>
  <c r="W36" i="4" s="1"/>
  <c r="Z31" i="4"/>
  <c r="Z29" i="4"/>
  <c r="Y30" i="4" s="1"/>
  <c r="Z27" i="4"/>
  <c r="Y28" i="4" s="1"/>
  <c r="X29" i="4" s="1"/>
  <c r="Z25" i="4"/>
  <c r="Y26" i="4" s="1"/>
  <c r="X27" i="4" s="1"/>
  <c r="W28" i="4" s="1"/>
  <c r="Z23" i="4"/>
  <c r="Z21" i="4"/>
  <c r="Z19" i="4"/>
  <c r="Y20" i="4" s="1"/>
  <c r="X21" i="4" s="1"/>
  <c r="A20" i="8"/>
  <c r="A19" i="8"/>
  <c r="A18" i="8"/>
  <c r="A17" i="8"/>
  <c r="A16" i="8"/>
  <c r="A15" i="8"/>
  <c r="A14" i="8"/>
  <c r="A13" i="8"/>
  <c r="A12" i="8"/>
  <c r="A11" i="8"/>
  <c r="A10" i="8"/>
  <c r="A9" i="8"/>
  <c r="A8" i="8"/>
  <c r="A7" i="8"/>
  <c r="A6" i="8"/>
  <c r="Y28" i="5"/>
  <c r="Y66" i="5"/>
  <c r="X67" i="5" s="1"/>
  <c r="Y68" i="5"/>
  <c r="Z69" i="5"/>
  <c r="Z67" i="5"/>
  <c r="Z65" i="5"/>
  <c r="Z63" i="5"/>
  <c r="Y62" i="5" s="1"/>
  <c r="Z61" i="5"/>
  <c r="Z59" i="5"/>
  <c r="Y60" i="5" s="1"/>
  <c r="Z57" i="5"/>
  <c r="Y58" i="5" s="1"/>
  <c r="X59" i="5" s="1"/>
  <c r="Z55" i="5"/>
  <c r="Y56" i="5" s="1"/>
  <c r="Z53" i="5"/>
  <c r="Z51" i="5"/>
  <c r="Y52" i="5" s="1"/>
  <c r="Z49" i="5"/>
  <c r="Y50" i="5" s="1"/>
  <c r="X51" i="5" s="1"/>
  <c r="Z47" i="5"/>
  <c r="Y48" i="5" s="1"/>
  <c r="X49" i="5" s="1"/>
  <c r="W50" i="5" s="1"/>
  <c r="Z45" i="5"/>
  <c r="Z43" i="5"/>
  <c r="Y44" i="5" s="1"/>
  <c r="Z41" i="5"/>
  <c r="Y42" i="5" s="1"/>
  <c r="X43" i="5" s="1"/>
  <c r="Z39" i="5"/>
  <c r="Y40" i="5" s="1"/>
  <c r="Z37" i="5"/>
  <c r="Z35" i="5"/>
  <c r="Y36" i="5" s="1"/>
  <c r="Z33" i="5"/>
  <c r="Y34" i="5" s="1"/>
  <c r="X35" i="5" s="1"/>
  <c r="Z31" i="5"/>
  <c r="Y32" i="5" s="1"/>
  <c r="X33" i="5" s="1"/>
  <c r="W34" i="5" s="1"/>
  <c r="Z29" i="5"/>
  <c r="Z27" i="5"/>
  <c r="Z25" i="5"/>
  <c r="Y26" i="5" s="1"/>
  <c r="X27" i="5" s="1"/>
  <c r="Z23" i="5"/>
  <c r="Y24" i="5" s="1"/>
  <c r="Z21" i="5"/>
  <c r="Z19" i="5"/>
  <c r="Y20" i="5" s="1"/>
  <c r="Z69" i="10"/>
  <c r="Z67" i="10"/>
  <c r="Y66" i="10" s="1"/>
  <c r="Z65" i="10"/>
  <c r="Z63" i="10"/>
  <c r="Z61" i="10"/>
  <c r="Z59" i="10"/>
  <c r="Y60" i="10" s="1"/>
  <c r="X61" i="10" s="1"/>
  <c r="Z57" i="10"/>
  <c r="Z55" i="10"/>
  <c r="Z53" i="10"/>
  <c r="Z51" i="10"/>
  <c r="Y50" i="10" s="1"/>
  <c r="Z49" i="10"/>
  <c r="Z47" i="10"/>
  <c r="Z45" i="10"/>
  <c r="Z43" i="10"/>
  <c r="Y44" i="10" s="1"/>
  <c r="X45" i="10" s="1"/>
  <c r="Z41" i="10"/>
  <c r="Z39" i="10"/>
  <c r="Z37" i="10"/>
  <c r="Y38" i="10" s="1"/>
  <c r="X39" i="10" s="1"/>
  <c r="Z35" i="10"/>
  <c r="Y34" i="10" s="1"/>
  <c r="Z33" i="10"/>
  <c r="Z31" i="10"/>
  <c r="Z29" i="10"/>
  <c r="Z27" i="10"/>
  <c r="Y26" i="10" s="1"/>
  <c r="Z25" i="10"/>
  <c r="Z23" i="10"/>
  <c r="Z21" i="10"/>
  <c r="Y22" i="10" s="1"/>
  <c r="X23" i="10" s="1"/>
  <c r="Z19" i="10"/>
  <c r="Y20" i="10" s="1"/>
  <c r="X21" i="10" s="1"/>
  <c r="W22" i="10" s="1"/>
  <c r="Y24" i="10"/>
  <c r="Y30" i="10"/>
  <c r="Y40" i="10"/>
  <c r="Y46" i="10"/>
  <c r="X47" i="10" s="1"/>
  <c r="Y56" i="10"/>
  <c r="Y62" i="10"/>
  <c r="Z69" i="9"/>
  <c r="Y68" i="9"/>
  <c r="Z67" i="9"/>
  <c r="X67" i="9"/>
  <c r="Y66" i="9"/>
  <c r="W66" i="9"/>
  <c r="Z65" i="9"/>
  <c r="X65" i="9"/>
  <c r="V65" i="9"/>
  <c r="Y64" i="9"/>
  <c r="Y64" i="10" s="1"/>
  <c r="W64" i="9"/>
  <c r="U64" i="9"/>
  <c r="Z63" i="9"/>
  <c r="X63" i="9"/>
  <c r="V63" i="9"/>
  <c r="T63" i="9"/>
  <c r="Y62" i="9"/>
  <c r="W62" i="9"/>
  <c r="U62" i="9"/>
  <c r="S62" i="9"/>
  <c r="Z61" i="9"/>
  <c r="X61" i="9"/>
  <c r="V61" i="9"/>
  <c r="T61" i="9"/>
  <c r="R61" i="9"/>
  <c r="Y60" i="9"/>
  <c r="W60" i="9"/>
  <c r="U60" i="9"/>
  <c r="S60" i="9"/>
  <c r="Q60" i="9"/>
  <c r="Z59" i="9"/>
  <c r="X59" i="9"/>
  <c r="V59" i="9"/>
  <c r="T59" i="9"/>
  <c r="R59" i="9"/>
  <c r="P59" i="9"/>
  <c r="Y58" i="9"/>
  <c r="W58" i="9"/>
  <c r="U58" i="9"/>
  <c r="S58" i="9"/>
  <c r="Q58" i="9"/>
  <c r="O58" i="9"/>
  <c r="Z57" i="9"/>
  <c r="X57" i="9"/>
  <c r="T57" i="9"/>
  <c r="R57" i="9"/>
  <c r="P57" i="9"/>
  <c r="N57" i="9"/>
  <c r="Y56" i="9"/>
  <c r="W56" i="9"/>
  <c r="U56" i="9"/>
  <c r="S56" i="9"/>
  <c r="Q56" i="9"/>
  <c r="O56" i="9"/>
  <c r="M56" i="9"/>
  <c r="Z55" i="9"/>
  <c r="X55" i="9"/>
  <c r="V55" i="9"/>
  <c r="T55" i="9"/>
  <c r="R55" i="9"/>
  <c r="P55" i="9"/>
  <c r="N55" i="9"/>
  <c r="L55" i="9"/>
  <c r="Y54" i="9"/>
  <c r="Y54" i="10" s="1"/>
  <c r="W54" i="9"/>
  <c r="U54" i="9"/>
  <c r="S54" i="9"/>
  <c r="Q54" i="9"/>
  <c r="O54" i="9"/>
  <c r="M54" i="9"/>
  <c r="K54" i="9"/>
  <c r="X53" i="9"/>
  <c r="V53" i="9"/>
  <c r="T53" i="9"/>
  <c r="R53" i="9"/>
  <c r="P53" i="9"/>
  <c r="N53" i="9"/>
  <c r="L53" i="9"/>
  <c r="J53" i="9"/>
  <c r="Y52" i="9"/>
  <c r="W52" i="9"/>
  <c r="U52" i="9"/>
  <c r="S52" i="9"/>
  <c r="Q52" i="9"/>
  <c r="O52" i="9"/>
  <c r="M52" i="9"/>
  <c r="K52" i="9"/>
  <c r="I52" i="9"/>
  <c r="Z51" i="9"/>
  <c r="X51" i="9"/>
  <c r="V51" i="9"/>
  <c r="T51" i="9"/>
  <c r="R51" i="9"/>
  <c r="P51" i="9"/>
  <c r="N51" i="9"/>
  <c r="L51" i="9"/>
  <c r="J51" i="9"/>
  <c r="H51" i="9"/>
  <c r="Y50" i="9"/>
  <c r="W50" i="9"/>
  <c r="U50" i="9"/>
  <c r="S50" i="9"/>
  <c r="Q50" i="9"/>
  <c r="O50" i="9"/>
  <c r="M50" i="9"/>
  <c r="K50" i="9"/>
  <c r="I50" i="9"/>
  <c r="G50" i="9"/>
  <c r="Z49" i="9"/>
  <c r="X49" i="9"/>
  <c r="V49" i="9"/>
  <c r="T49" i="9"/>
  <c r="R49" i="9"/>
  <c r="P49" i="9"/>
  <c r="N49" i="9"/>
  <c r="L49" i="9"/>
  <c r="J49" i="9"/>
  <c r="H49" i="9"/>
  <c r="F49" i="9"/>
  <c r="Y48" i="9"/>
  <c r="Y48" i="10" s="1"/>
  <c r="W48" i="9"/>
  <c r="U48" i="9"/>
  <c r="S48" i="9"/>
  <c r="Q48" i="9"/>
  <c r="O48" i="9"/>
  <c r="M48" i="9"/>
  <c r="K48" i="9"/>
  <c r="I48" i="9"/>
  <c r="G48" i="9"/>
  <c r="E48" i="9"/>
  <c r="Z47" i="9"/>
  <c r="X47" i="9"/>
  <c r="V47" i="9"/>
  <c r="T47" i="9"/>
  <c r="R47" i="9"/>
  <c r="P47" i="9"/>
  <c r="N47" i="9"/>
  <c r="L47" i="9"/>
  <c r="J47" i="9"/>
  <c r="H47" i="9"/>
  <c r="F47" i="9"/>
  <c r="D47" i="9"/>
  <c r="Y46" i="9"/>
  <c r="W46" i="9"/>
  <c r="U46" i="9"/>
  <c r="S46" i="9"/>
  <c r="Q46" i="9"/>
  <c r="O46" i="9"/>
  <c r="M46" i="9"/>
  <c r="K46" i="9"/>
  <c r="I46" i="9"/>
  <c r="G46" i="9"/>
  <c r="E46" i="9"/>
  <c r="C46" i="9"/>
  <c r="Z45" i="9"/>
  <c r="X45" i="9"/>
  <c r="V45" i="9"/>
  <c r="T45" i="9"/>
  <c r="R45" i="9"/>
  <c r="P45" i="9"/>
  <c r="N45" i="9"/>
  <c r="L45" i="9"/>
  <c r="J45" i="9"/>
  <c r="H45" i="9"/>
  <c r="F45" i="9"/>
  <c r="D45" i="9"/>
  <c r="B45" i="9"/>
  <c r="Y44" i="9"/>
  <c r="W44" i="9"/>
  <c r="U44" i="9"/>
  <c r="S44" i="9"/>
  <c r="Q44" i="9"/>
  <c r="O44" i="9"/>
  <c r="M44" i="9"/>
  <c r="K44" i="9"/>
  <c r="I44" i="9"/>
  <c r="G44" i="9"/>
  <c r="E44" i="9"/>
  <c r="C44" i="9"/>
  <c r="A44" i="9"/>
  <c r="Z43" i="9"/>
  <c r="X43" i="9"/>
  <c r="V43" i="9"/>
  <c r="T43" i="9"/>
  <c r="R43" i="9"/>
  <c r="P43" i="9"/>
  <c r="N43" i="9"/>
  <c r="L43" i="9"/>
  <c r="J43" i="9"/>
  <c r="H43" i="9"/>
  <c r="F43" i="9"/>
  <c r="D43" i="9"/>
  <c r="B43" i="9"/>
  <c r="Y42" i="9"/>
  <c r="W42" i="9"/>
  <c r="U42" i="9"/>
  <c r="S42" i="9"/>
  <c r="Q42" i="9"/>
  <c r="O42" i="9"/>
  <c r="M42" i="9"/>
  <c r="K42" i="9"/>
  <c r="I42" i="9"/>
  <c r="G42" i="9"/>
  <c r="E42" i="9"/>
  <c r="C42" i="9"/>
  <c r="Z41" i="9"/>
  <c r="X41" i="9"/>
  <c r="V41" i="9"/>
  <c r="T41" i="9"/>
  <c r="P41" i="9"/>
  <c r="N41" i="9"/>
  <c r="L41" i="9"/>
  <c r="H41" i="9"/>
  <c r="F41" i="9"/>
  <c r="D41" i="9"/>
  <c r="Y40" i="9"/>
  <c r="W40" i="9"/>
  <c r="U40" i="9"/>
  <c r="S40" i="9"/>
  <c r="Q40" i="9"/>
  <c r="O40" i="9"/>
  <c r="M40" i="9"/>
  <c r="K40" i="9"/>
  <c r="I40" i="9"/>
  <c r="G40" i="9"/>
  <c r="E40" i="9"/>
  <c r="Z39" i="9"/>
  <c r="X39" i="9"/>
  <c r="V39" i="9"/>
  <c r="T39" i="9"/>
  <c r="R39" i="9"/>
  <c r="P39" i="9"/>
  <c r="N39" i="9"/>
  <c r="L39" i="9"/>
  <c r="J39" i="9"/>
  <c r="H39" i="9"/>
  <c r="F39" i="9"/>
  <c r="Y38" i="9"/>
  <c r="W38" i="9"/>
  <c r="U38" i="9"/>
  <c r="S38" i="9"/>
  <c r="Q38" i="9"/>
  <c r="O38" i="9"/>
  <c r="M38" i="9"/>
  <c r="K38" i="9"/>
  <c r="I38" i="9"/>
  <c r="G38" i="9"/>
  <c r="Z37" i="9"/>
  <c r="X37" i="9"/>
  <c r="T37" i="9"/>
  <c r="R37" i="9"/>
  <c r="P37" i="9"/>
  <c r="L37" i="9"/>
  <c r="J37" i="9"/>
  <c r="H37" i="9"/>
  <c r="Y36" i="9"/>
  <c r="W36" i="9"/>
  <c r="U36" i="9"/>
  <c r="S36" i="9"/>
  <c r="Q36" i="9"/>
  <c r="O36" i="9"/>
  <c r="M36" i="9"/>
  <c r="K36" i="9"/>
  <c r="I36" i="9"/>
  <c r="Z35" i="9"/>
  <c r="X35" i="9"/>
  <c r="V35" i="9"/>
  <c r="T35" i="9"/>
  <c r="R35" i="9"/>
  <c r="P35" i="9"/>
  <c r="N35" i="9"/>
  <c r="L35" i="9"/>
  <c r="J35" i="9"/>
  <c r="Y34" i="9"/>
  <c r="W34" i="9"/>
  <c r="U34" i="9"/>
  <c r="S34" i="9"/>
  <c r="Q34" i="9"/>
  <c r="O34" i="9"/>
  <c r="M34" i="9"/>
  <c r="K34" i="9"/>
  <c r="X33" i="9"/>
  <c r="V33" i="9"/>
  <c r="T33" i="9"/>
  <c r="P33" i="9"/>
  <c r="N33" i="9"/>
  <c r="L33" i="9"/>
  <c r="Y32" i="9"/>
  <c r="Y32" i="10" s="1"/>
  <c r="W32" i="9"/>
  <c r="U32" i="9"/>
  <c r="S32" i="9"/>
  <c r="Q32" i="9"/>
  <c r="O32" i="9"/>
  <c r="M32" i="9"/>
  <c r="Z31" i="9"/>
  <c r="X31" i="9"/>
  <c r="V31" i="9"/>
  <c r="T31" i="9"/>
  <c r="R31" i="9"/>
  <c r="P31" i="9"/>
  <c r="N31" i="9"/>
  <c r="Y30" i="9"/>
  <c r="W30" i="9"/>
  <c r="U30" i="9"/>
  <c r="S30" i="9"/>
  <c r="Q30" i="9"/>
  <c r="O30" i="9"/>
  <c r="Z29" i="9"/>
  <c r="X29" i="9"/>
  <c r="T29" i="9"/>
  <c r="R29" i="9"/>
  <c r="P29" i="9"/>
  <c r="Y28" i="9"/>
  <c r="W28" i="9"/>
  <c r="U28" i="9"/>
  <c r="S28" i="9"/>
  <c r="Q28" i="9"/>
  <c r="Z27" i="9"/>
  <c r="X27" i="9"/>
  <c r="V27" i="9"/>
  <c r="T27" i="9"/>
  <c r="R27" i="9"/>
  <c r="Y26" i="9"/>
  <c r="W26" i="9"/>
  <c r="U26" i="9"/>
  <c r="S26" i="9"/>
  <c r="X25" i="9"/>
  <c r="V25" i="9"/>
  <c r="T25" i="9"/>
  <c r="Y24" i="9"/>
  <c r="W24" i="9"/>
  <c r="U24" i="9"/>
  <c r="Z23" i="9"/>
  <c r="X23" i="9"/>
  <c r="V23" i="9"/>
  <c r="Y22" i="9"/>
  <c r="W22" i="9"/>
  <c r="Z21" i="9"/>
  <c r="X21" i="9"/>
  <c r="Y20" i="9"/>
  <c r="Z19" i="9"/>
  <c r="J53" i="6"/>
  <c r="J51" i="6"/>
  <c r="I52" i="6"/>
  <c r="J49" i="6"/>
  <c r="I50" i="6" s="1"/>
  <c r="H51" i="6" s="1"/>
  <c r="J47" i="6"/>
  <c r="I48" i="6"/>
  <c r="H49" i="6" s="1"/>
  <c r="G50" i="6" s="1"/>
  <c r="J45" i="6"/>
  <c r="I46" i="6"/>
  <c r="J43" i="6"/>
  <c r="I44" i="6" s="1"/>
  <c r="H45" i="6" s="1"/>
  <c r="J39" i="6"/>
  <c r="J37" i="6"/>
  <c r="I38" i="6" s="1"/>
  <c r="J35" i="6"/>
  <c r="I36" i="6"/>
  <c r="H37" i="6"/>
  <c r="W46" i="10" l="1"/>
  <c r="X65" i="10"/>
  <c r="W60" i="5"/>
  <c r="I182" i="1"/>
  <c r="H183" i="1" s="1"/>
  <c r="G184" i="1" s="1"/>
  <c r="I180" i="1"/>
  <c r="H181" i="1" s="1"/>
  <c r="G182" i="1" s="1"/>
  <c r="F183" i="1" s="1"/>
  <c r="Q441" i="1"/>
  <c r="P442" i="1" s="1"/>
  <c r="O443" i="1" s="1"/>
  <c r="N444" i="1" s="1"/>
  <c r="Q439" i="1"/>
  <c r="P440" i="1" s="1"/>
  <c r="O441" i="1" s="1"/>
  <c r="N442" i="1" s="1"/>
  <c r="M443" i="1" s="1"/>
  <c r="H47" i="6"/>
  <c r="G48" i="6" s="1"/>
  <c r="F49" i="6" s="1"/>
  <c r="F49" i="7" s="1"/>
  <c r="X33" i="10"/>
  <c r="X49" i="10"/>
  <c r="W48" i="10" s="1"/>
  <c r="X55" i="10"/>
  <c r="X25" i="10"/>
  <c r="J263" i="1"/>
  <c r="X51" i="10"/>
  <c r="W52" i="10" s="1"/>
  <c r="V53" i="10" s="1"/>
  <c r="I86" i="1"/>
  <c r="W28" i="5"/>
  <c r="V29" i="5" s="1"/>
  <c r="U30" i="5" s="1"/>
  <c r="T31" i="5" s="1"/>
  <c r="L331" i="1"/>
  <c r="K332" i="1" s="1"/>
  <c r="J333" i="1" s="1"/>
  <c r="X63" i="10"/>
  <c r="X31" i="10"/>
  <c r="W32" i="10" s="1"/>
  <c r="X61" i="5"/>
  <c r="G67" i="1"/>
  <c r="H179" i="1"/>
  <c r="G180" i="1" s="1"/>
  <c r="F181" i="1" s="1"/>
  <c r="E182" i="1" s="1"/>
  <c r="J189" i="1"/>
  <c r="I190" i="1" s="1"/>
  <c r="H191" i="1" s="1"/>
  <c r="J215" i="1"/>
  <c r="Y58" i="10"/>
  <c r="Y42" i="10"/>
  <c r="X43" i="10" s="1"/>
  <c r="W44" i="10" s="1"/>
  <c r="Z25" i="9"/>
  <c r="Z33" i="9"/>
  <c r="J41" i="9"/>
  <c r="R41" i="9"/>
  <c r="Y68" i="10"/>
  <c r="X67" i="10" s="1"/>
  <c r="Y52" i="10"/>
  <c r="X53" i="10" s="1"/>
  <c r="W54" i="10" s="1"/>
  <c r="Y36" i="10"/>
  <c r="X37" i="10" s="1"/>
  <c r="W38" i="10" s="1"/>
  <c r="Y22" i="5"/>
  <c r="X23" i="5" s="1"/>
  <c r="Y30" i="5"/>
  <c r="X31" i="5" s="1"/>
  <c r="W32" i="5" s="1"/>
  <c r="V33" i="5" s="1"/>
  <c r="Y38" i="5"/>
  <c r="X39" i="5" s="1"/>
  <c r="Y46" i="5"/>
  <c r="X47" i="5" s="1"/>
  <c r="W48" i="5" s="1"/>
  <c r="V49" i="5" s="1"/>
  <c r="Y54" i="5"/>
  <c r="Y64" i="5"/>
  <c r="X65" i="5" s="1"/>
  <c r="W66" i="5" s="1"/>
  <c r="Y24" i="4"/>
  <c r="X25" i="4" s="1"/>
  <c r="W26" i="4" s="1"/>
  <c r="V27" i="4" s="1"/>
  <c r="Y32" i="4"/>
  <c r="X33" i="4" s="1"/>
  <c r="W34" i="4" s="1"/>
  <c r="V35" i="4" s="1"/>
  <c r="Y40" i="4"/>
  <c r="X41" i="4" s="1"/>
  <c r="W42" i="4" s="1"/>
  <c r="Y48" i="4"/>
  <c r="Y56" i="4"/>
  <c r="X57" i="4" s="1"/>
  <c r="W58" i="4" s="1"/>
  <c r="Y64" i="4"/>
  <c r="X65" i="4" s="1"/>
  <c r="W66" i="4" s="1"/>
  <c r="F60" i="1"/>
  <c r="G66" i="1"/>
  <c r="H75" i="1"/>
  <c r="F118" i="1"/>
  <c r="E119" i="1" s="1"/>
  <c r="D120" i="1" s="1"/>
  <c r="G134" i="1"/>
  <c r="F135" i="1" s="1"/>
  <c r="E136" i="1" s="1"/>
  <c r="G136" i="1"/>
  <c r="F137" i="1" s="1"/>
  <c r="G154" i="1"/>
  <c r="F155" i="1" s="1"/>
  <c r="E156" i="1" s="1"/>
  <c r="H165" i="1"/>
  <c r="G166" i="1" s="1"/>
  <c r="H167" i="1"/>
  <c r="J205" i="1"/>
  <c r="I210" i="1"/>
  <c r="H211" i="1" s="1"/>
  <c r="J234" i="1"/>
  <c r="K260" i="1"/>
  <c r="J261" i="1" s="1"/>
  <c r="I262" i="1" s="1"/>
  <c r="L288" i="1"/>
  <c r="K289" i="1" s="1"/>
  <c r="J290" i="1" s="1"/>
  <c r="I291" i="1" s="1"/>
  <c r="M289" i="1"/>
  <c r="L290" i="1" s="1"/>
  <c r="K291" i="1" s="1"/>
  <c r="J292" i="1" s="1"/>
  <c r="L329" i="1"/>
  <c r="K330" i="1" s="1"/>
  <c r="J331" i="1" s="1"/>
  <c r="I332" i="1" s="1"/>
  <c r="R477" i="1"/>
  <c r="Q478" i="1" s="1"/>
  <c r="R479" i="1"/>
  <c r="R525" i="1"/>
  <c r="Q526" i="1" s="1"/>
  <c r="X45" i="4"/>
  <c r="W44" i="4" s="1"/>
  <c r="X61" i="4"/>
  <c r="X55" i="4"/>
  <c r="W56" i="4" s="1"/>
  <c r="V57" i="4" s="1"/>
  <c r="X53" i="4"/>
  <c r="F61" i="1"/>
  <c r="E117" i="1"/>
  <c r="D118" i="1" s="1"/>
  <c r="C119" i="1" s="1"/>
  <c r="E123" i="1"/>
  <c r="D122" i="1" s="1"/>
  <c r="F159" i="1"/>
  <c r="J207" i="1"/>
  <c r="I208" i="1" s="1"/>
  <c r="H209" i="1" s="1"/>
  <c r="G210" i="1" s="1"/>
  <c r="I229" i="1"/>
  <c r="H230" i="1" s="1"/>
  <c r="J230" i="1"/>
  <c r="I231" i="1" s="1"/>
  <c r="K237" i="1"/>
  <c r="K239" i="1"/>
  <c r="J240" i="1" s="1"/>
  <c r="I241" i="1" s="1"/>
  <c r="H242" i="1" s="1"/>
  <c r="G243" i="1" s="1"/>
  <c r="K264" i="1"/>
  <c r="L267" i="1"/>
  <c r="L269" i="1"/>
  <c r="K270" i="1" s="1"/>
  <c r="N298" i="1"/>
  <c r="M318" i="1"/>
  <c r="L319" i="1" s="1"/>
  <c r="N323" i="1"/>
  <c r="M324" i="1" s="1"/>
  <c r="L325" i="1" s="1"/>
  <c r="K326" i="1" s="1"/>
  <c r="M332" i="1"/>
  <c r="L333" i="1" s="1"/>
  <c r="K334" i="1" s="1"/>
  <c r="N339" i="1"/>
  <c r="N341" i="1"/>
  <c r="M342" i="1" s="1"/>
  <c r="O378" i="1"/>
  <c r="O380" i="1"/>
  <c r="P393" i="1"/>
  <c r="P395" i="1"/>
  <c r="O396" i="1" s="1"/>
  <c r="N397" i="1" s="1"/>
  <c r="M398" i="1" s="1"/>
  <c r="L399" i="1" s="1"/>
  <c r="K400" i="1" s="1"/>
  <c r="P438" i="1"/>
  <c r="O439" i="1" s="1"/>
  <c r="N440" i="1" s="1"/>
  <c r="M441" i="1" s="1"/>
  <c r="L442" i="1" s="1"/>
  <c r="X25" i="5"/>
  <c r="W26" i="5" s="1"/>
  <c r="X41" i="5"/>
  <c r="W42" i="5" s="1"/>
  <c r="X57" i="5"/>
  <c r="W58" i="5" s="1"/>
  <c r="V59" i="5" s="1"/>
  <c r="X29" i="5"/>
  <c r="W30" i="5" s="1"/>
  <c r="V31" i="5" s="1"/>
  <c r="U32" i="5" s="1"/>
  <c r="W52" i="4"/>
  <c r="D100" i="1"/>
  <c r="I188" i="1"/>
  <c r="H189" i="1" s="1"/>
  <c r="G190" i="1" s="1"/>
  <c r="I204" i="1"/>
  <c r="H203" i="1" s="1"/>
  <c r="K266" i="1"/>
  <c r="E105" i="1"/>
  <c r="D106" i="1" s="1"/>
  <c r="R432" i="1"/>
  <c r="R473" i="1"/>
  <c r="V654" i="1"/>
  <c r="U655" i="1" s="1"/>
  <c r="T656" i="1" s="1"/>
  <c r="S657" i="1" s="1"/>
  <c r="V605" i="1"/>
  <c r="U606" i="1" s="1"/>
  <c r="T607" i="1" s="1"/>
  <c r="S608" i="1" s="1"/>
  <c r="V613" i="1"/>
  <c r="U614" i="1" s="1"/>
  <c r="T615" i="1" s="1"/>
  <c r="S616" i="1" s="1"/>
  <c r="R617" i="1" s="1"/>
  <c r="V662" i="1"/>
  <c r="U663" i="1" s="1"/>
  <c r="T664" i="1" s="1"/>
  <c r="S665" i="1" s="1"/>
  <c r="R666" i="1" s="1"/>
  <c r="X825" i="1"/>
  <c r="W826" i="1" s="1"/>
  <c r="V827" i="1" s="1"/>
  <c r="U634" i="1"/>
  <c r="T635" i="1" s="1"/>
  <c r="S636" i="1" s="1"/>
  <c r="U632" i="1"/>
  <c r="Y838" i="1"/>
  <c r="X839" i="1" s="1"/>
  <c r="Y836" i="1"/>
  <c r="X837" i="1" s="1"/>
  <c r="W838" i="1" s="1"/>
  <c r="V29" i="9"/>
  <c r="N37" i="9"/>
  <c r="V37" i="9"/>
  <c r="Y28" i="10"/>
  <c r="X29" i="10" s="1"/>
  <c r="W30" i="10" s="1"/>
  <c r="V31" i="10" s="1"/>
  <c r="J41" i="6"/>
  <c r="I42" i="6" s="1"/>
  <c r="H43" i="6" s="1"/>
  <c r="G44" i="6" s="1"/>
  <c r="Z53" i="9"/>
  <c r="V57" i="9"/>
  <c r="X39" i="4"/>
  <c r="W40" i="4" s="1"/>
  <c r="V41" i="4" s="1"/>
  <c r="A68" i="1"/>
  <c r="C87" i="1"/>
  <c r="B88" i="1" s="1"/>
  <c r="A89" i="1" s="1"/>
  <c r="I85" i="1" s="1"/>
  <c r="E103" i="1"/>
  <c r="D104" i="1" s="1"/>
  <c r="C105" i="1" s="1"/>
  <c r="G140" i="1"/>
  <c r="F141" i="1" s="1"/>
  <c r="E142" i="1" s="1"/>
  <c r="E158" i="1"/>
  <c r="F161" i="1"/>
  <c r="H177" i="1"/>
  <c r="H187" i="1"/>
  <c r="G188" i="1" s="1"/>
  <c r="F189" i="1" s="1"/>
  <c r="J242" i="1"/>
  <c r="I243" i="1" s="1"/>
  <c r="H244" i="1" s="1"/>
  <c r="K272" i="1"/>
  <c r="J273" i="1" s="1"/>
  <c r="I274" i="1" s="1"/>
  <c r="M307" i="1"/>
  <c r="M309" i="1"/>
  <c r="R529" i="1"/>
  <c r="R527" i="1"/>
  <c r="N359" i="1"/>
  <c r="O362" i="1"/>
  <c r="O364" i="1"/>
  <c r="N365" i="1" s="1"/>
  <c r="M366" i="1" s="1"/>
  <c r="L367" i="1" s="1"/>
  <c r="K368" i="1" s="1"/>
  <c r="M372" i="1"/>
  <c r="L373" i="1" s="1"/>
  <c r="Q476" i="1"/>
  <c r="P477" i="1" s="1"/>
  <c r="S516" i="1"/>
  <c r="R517" i="1" s="1"/>
  <c r="Q518" i="1" s="1"/>
  <c r="P519" i="1" s="1"/>
  <c r="O520" i="1" s="1"/>
  <c r="R562" i="1"/>
  <c r="S591" i="1"/>
  <c r="S589" i="1"/>
  <c r="L355" i="1"/>
  <c r="K356" i="1" s="1"/>
  <c r="N357" i="1"/>
  <c r="M358" i="1" s="1"/>
  <c r="N367" i="1"/>
  <c r="M368" i="1" s="1"/>
  <c r="L369" i="1" s="1"/>
  <c r="N405" i="1"/>
  <c r="P409" i="1"/>
  <c r="P411" i="1"/>
  <c r="O412" i="1" s="1"/>
  <c r="P436" i="1"/>
  <c r="O437" i="1" s="1"/>
  <c r="N438" i="1" s="1"/>
  <c r="M439" i="1" s="1"/>
  <c r="L440" i="1" s="1"/>
  <c r="K441" i="1" s="1"/>
  <c r="Q455" i="1"/>
  <c r="P456" i="1" s="1"/>
  <c r="O457" i="1" s="1"/>
  <c r="R556" i="1"/>
  <c r="R619" i="1"/>
  <c r="M356" i="1"/>
  <c r="L357" i="1" s="1"/>
  <c r="O414" i="1"/>
  <c r="N415" i="1" s="1"/>
  <c r="M416" i="1" s="1"/>
  <c r="Q449" i="1"/>
  <c r="Q451" i="1"/>
  <c r="P452" i="1" s="1"/>
  <c r="Q524" i="1"/>
  <c r="P525" i="1" s="1"/>
  <c r="R531" i="1"/>
  <c r="Q532" i="1" s="1"/>
  <c r="P533" i="1" s="1"/>
  <c r="O534" i="1" s="1"/>
  <c r="N535" i="1" s="1"/>
  <c r="M536" i="1" s="1"/>
  <c r="Q488" i="1"/>
  <c r="P489" i="1" s="1"/>
  <c r="O490" i="1" s="1"/>
  <c r="Q498" i="1"/>
  <c r="S514" i="1"/>
  <c r="R515" i="1" s="1"/>
  <c r="Q516" i="1" s="1"/>
  <c r="P517" i="1" s="1"/>
  <c r="O518" i="1" s="1"/>
  <c r="N519" i="1" s="1"/>
  <c r="S532" i="1"/>
  <c r="R533" i="1" s="1"/>
  <c r="Q534" i="1" s="1"/>
  <c r="P535" i="1" s="1"/>
  <c r="O536" i="1" s="1"/>
  <c r="N537" i="1" s="1"/>
  <c r="Q542" i="1"/>
  <c r="S575" i="1"/>
  <c r="W710" i="1"/>
  <c r="V711" i="1" s="1"/>
  <c r="U712" i="1" s="1"/>
  <c r="T713" i="1" s="1"/>
  <c r="S714" i="1" s="1"/>
  <c r="W708" i="1"/>
  <c r="R513" i="1"/>
  <c r="Q514" i="1" s="1"/>
  <c r="P515" i="1" s="1"/>
  <c r="O516" i="1" s="1"/>
  <c r="N517" i="1" s="1"/>
  <c r="M518" i="1" s="1"/>
  <c r="R545" i="1"/>
  <c r="Q544" i="1" s="1"/>
  <c r="R564" i="1"/>
  <c r="Q565" i="1" s="1"/>
  <c r="P566" i="1" s="1"/>
  <c r="S565" i="1"/>
  <c r="R566" i="1" s="1"/>
  <c r="Q567" i="1" s="1"/>
  <c r="R570" i="1"/>
  <c r="Q569" i="1" s="1"/>
  <c r="R572" i="1"/>
  <c r="S583" i="1"/>
  <c r="R584" i="1" s="1"/>
  <c r="Q585" i="1" s="1"/>
  <c r="R481" i="1"/>
  <c r="Q482" i="1" s="1"/>
  <c r="P483" i="1" s="1"/>
  <c r="O484" i="1" s="1"/>
  <c r="R483" i="1"/>
  <c r="Q484" i="1" s="1"/>
  <c r="P485" i="1" s="1"/>
  <c r="R489" i="1"/>
  <c r="Q490" i="1" s="1"/>
  <c r="P491" i="1" s="1"/>
  <c r="Q494" i="1"/>
  <c r="P495" i="1" s="1"/>
  <c r="R511" i="1"/>
  <c r="Q512" i="1" s="1"/>
  <c r="P513" i="1" s="1"/>
  <c r="O514" i="1" s="1"/>
  <c r="N515" i="1" s="1"/>
  <c r="M516" i="1" s="1"/>
  <c r="L517" i="1" s="1"/>
  <c r="S559" i="1"/>
  <c r="R560" i="1" s="1"/>
  <c r="Q561" i="1" s="1"/>
  <c r="T576" i="1"/>
  <c r="T578" i="1"/>
  <c r="S579" i="1" s="1"/>
  <c r="R580" i="1" s="1"/>
  <c r="R588" i="1"/>
  <c r="S620" i="1"/>
  <c r="T631" i="1"/>
  <c r="U649" i="1"/>
  <c r="T650" i="1" s="1"/>
  <c r="V656" i="1"/>
  <c r="U657" i="1" s="1"/>
  <c r="T658" i="1" s="1"/>
  <c r="U671" i="1"/>
  <c r="U675" i="1"/>
  <c r="T676" i="1" s="1"/>
  <c r="S677" i="1" s="1"/>
  <c r="W722" i="1"/>
  <c r="V723" i="1" s="1"/>
  <c r="T611" i="1"/>
  <c r="S612" i="1" s="1"/>
  <c r="R613" i="1" s="1"/>
  <c r="Q614" i="1" s="1"/>
  <c r="P615" i="1" s="1"/>
  <c r="U612" i="1"/>
  <c r="T613" i="1" s="1"/>
  <c r="S614" i="1" s="1"/>
  <c r="R615" i="1" s="1"/>
  <c r="Q616" i="1" s="1"/>
  <c r="U624" i="1"/>
  <c r="T625" i="1" s="1"/>
  <c r="S626" i="1" s="1"/>
  <c r="U640" i="1"/>
  <c r="T639" i="1" s="1"/>
  <c r="S638" i="1" s="1"/>
  <c r="U677" i="1"/>
  <c r="T678" i="1" s="1"/>
  <c r="V682" i="1"/>
  <c r="U683" i="1" s="1"/>
  <c r="T684" i="1" s="1"/>
  <c r="W702" i="1"/>
  <c r="V703" i="1" s="1"/>
  <c r="U704" i="1" s="1"/>
  <c r="W704" i="1"/>
  <c r="V705" i="1" s="1"/>
  <c r="V721" i="1"/>
  <c r="U722" i="1" s="1"/>
  <c r="V725" i="1"/>
  <c r="U726" i="1" s="1"/>
  <c r="T727" i="1" s="1"/>
  <c r="U604" i="1"/>
  <c r="T629" i="1"/>
  <c r="S630" i="1" s="1"/>
  <c r="U687" i="1"/>
  <c r="V707" i="1"/>
  <c r="AA696" i="1"/>
  <c r="AB696" i="1" s="1"/>
  <c r="X752" i="1"/>
  <c r="W753" i="1" s="1"/>
  <c r="V754" i="1" s="1"/>
  <c r="U755" i="1" s="1"/>
  <c r="X699" i="1"/>
  <c r="W700" i="1" s="1"/>
  <c r="V701" i="1" s="1"/>
  <c r="U702" i="1" s="1"/>
  <c r="T703" i="1" s="1"/>
  <c r="V713" i="1"/>
  <c r="U714" i="1" s="1"/>
  <c r="T715" i="1" s="1"/>
  <c r="V719" i="1"/>
  <c r="W732" i="1"/>
  <c r="V733" i="1" s="1"/>
  <c r="U734" i="1" s="1"/>
  <c r="T735" i="1" s="1"/>
  <c r="S736" i="1" s="1"/>
  <c r="R737" i="1" s="1"/>
  <c r="W734" i="1"/>
  <c r="V735" i="1" s="1"/>
  <c r="U736" i="1" s="1"/>
  <c r="T737" i="1" s="1"/>
  <c r="S738" i="1" s="1"/>
  <c r="U771" i="1"/>
  <c r="T772" i="1" s="1"/>
  <c r="W761" i="1"/>
  <c r="V762" i="1" s="1"/>
  <c r="U763" i="1" s="1"/>
  <c r="V766" i="1"/>
  <c r="U767" i="1" s="1"/>
  <c r="T768" i="1" s="1"/>
  <c r="W767" i="1"/>
  <c r="V768" i="1" s="1"/>
  <c r="U769" i="1" s="1"/>
  <c r="V786" i="1"/>
  <c r="U787" i="1" s="1"/>
  <c r="T788" i="1" s="1"/>
  <c r="W726" i="1"/>
  <c r="V727" i="1" s="1"/>
  <c r="U728" i="1" s="1"/>
  <c r="V758" i="1"/>
  <c r="V772" i="1"/>
  <c r="U773" i="1" s="1"/>
  <c r="W793" i="1"/>
  <c r="Y808" i="1"/>
  <c r="X809" i="1" s="1"/>
  <c r="W810" i="1" s="1"/>
  <c r="V811" i="1" s="1"/>
  <c r="X762" i="1"/>
  <c r="W763" i="1" s="1"/>
  <c r="V764" i="1" s="1"/>
  <c r="W777" i="1"/>
  <c r="W781" i="1"/>
  <c r="V782" i="1" s="1"/>
  <c r="U783" i="1" s="1"/>
  <c r="W787" i="1"/>
  <c r="V788" i="1" s="1"/>
  <c r="U789" i="1" s="1"/>
  <c r="Y816" i="1"/>
  <c r="X817" i="1" s="1"/>
  <c r="W818" i="1" s="1"/>
  <c r="X841" i="1"/>
  <c r="W842" i="1" s="1"/>
  <c r="V843" i="1" s="1"/>
  <c r="Y848" i="1"/>
  <c r="X849" i="1" s="1"/>
  <c r="W850" i="1" s="1"/>
  <c r="Y826" i="1"/>
  <c r="X827" i="1" s="1"/>
  <c r="W828" i="1" s="1"/>
  <c r="X831" i="1"/>
  <c r="W832" i="1" s="1"/>
  <c r="X815" i="1"/>
  <c r="W816" i="1" s="1"/>
  <c r="V817" i="1" s="1"/>
  <c r="Y842" i="1"/>
  <c r="X843" i="1" s="1"/>
  <c r="W844" i="1" s="1"/>
  <c r="Y806" i="1"/>
  <c r="X807" i="1" s="1"/>
  <c r="W808" i="1" s="1"/>
  <c r="V809" i="1" s="1"/>
  <c r="U810" i="1" s="1"/>
  <c r="Y822" i="1"/>
  <c r="X823" i="1" s="1"/>
  <c r="W824" i="1" s="1"/>
  <c r="V825" i="1" s="1"/>
  <c r="U826" i="1" s="1"/>
  <c r="V49" i="10" l="1"/>
  <c r="U50" i="10" s="1"/>
  <c r="T51" i="10" s="1"/>
  <c r="T784" i="1"/>
  <c r="S785" i="1" s="1"/>
  <c r="R786" i="1" s="1"/>
  <c r="T764" i="1"/>
  <c r="S765" i="1" s="1"/>
  <c r="R766" i="1" s="1"/>
  <c r="T686" i="1"/>
  <c r="S685" i="1" s="1"/>
  <c r="T688" i="1"/>
  <c r="P586" i="1"/>
  <c r="M404" i="1"/>
  <c r="U828" i="1"/>
  <c r="T829" i="1" s="1"/>
  <c r="O392" i="1"/>
  <c r="O394" i="1"/>
  <c r="N395" i="1" s="1"/>
  <c r="M396" i="1" s="1"/>
  <c r="L397" i="1" s="1"/>
  <c r="K398" i="1" s="1"/>
  <c r="J399" i="1" s="1"/>
  <c r="P527" i="1"/>
  <c r="X45" i="5"/>
  <c r="W64" i="10"/>
  <c r="W62" i="10"/>
  <c r="V63" i="10" s="1"/>
  <c r="G186" i="1"/>
  <c r="F187" i="1" s="1"/>
  <c r="E188" i="1" s="1"/>
  <c r="K328" i="1"/>
  <c r="J329" i="1" s="1"/>
  <c r="I330" i="1" s="1"/>
  <c r="H331" i="1" s="1"/>
  <c r="W66" i="10"/>
  <c r="V778" i="1"/>
  <c r="V776" i="1"/>
  <c r="V760" i="1"/>
  <c r="U761" i="1" s="1"/>
  <c r="T762" i="1" s="1"/>
  <c r="V780" i="1"/>
  <c r="U781" i="1" s="1"/>
  <c r="T782" i="1" s="1"/>
  <c r="S783" i="1" s="1"/>
  <c r="R784" i="1" s="1"/>
  <c r="Q785" i="1" s="1"/>
  <c r="U724" i="1"/>
  <c r="T725" i="1" s="1"/>
  <c r="S726" i="1" s="1"/>
  <c r="O496" i="1"/>
  <c r="N497" i="1" s="1"/>
  <c r="P493" i="1"/>
  <c r="O494" i="1" s="1"/>
  <c r="Q563" i="1"/>
  <c r="P564" i="1" s="1"/>
  <c r="O565" i="1" s="1"/>
  <c r="P454" i="1"/>
  <c r="O455" i="1" s="1"/>
  <c r="N456" i="1" s="1"/>
  <c r="X835" i="1"/>
  <c r="X805" i="1"/>
  <c r="W806" i="1" s="1"/>
  <c r="V807" i="1" s="1"/>
  <c r="U808" i="1" s="1"/>
  <c r="T809" i="1" s="1"/>
  <c r="U720" i="1"/>
  <c r="T721" i="1" s="1"/>
  <c r="S722" i="1" s="1"/>
  <c r="R723" i="1" s="1"/>
  <c r="Q724" i="1" s="1"/>
  <c r="U708" i="1"/>
  <c r="T709" i="1" s="1"/>
  <c r="S710" i="1" s="1"/>
  <c r="R711" i="1" s="1"/>
  <c r="Q712" i="1" s="1"/>
  <c r="U706" i="1"/>
  <c r="T707" i="1" s="1"/>
  <c r="S708" i="1" s="1"/>
  <c r="R709" i="1" s="1"/>
  <c r="Q710" i="1" s="1"/>
  <c r="P711" i="1" s="1"/>
  <c r="P617" i="1"/>
  <c r="U681" i="1"/>
  <c r="U653" i="1"/>
  <c r="T674" i="1"/>
  <c r="S675" i="1" s="1"/>
  <c r="R676" i="1" s="1"/>
  <c r="S610" i="1"/>
  <c r="R611" i="1" s="1"/>
  <c r="Q612" i="1" s="1"/>
  <c r="P613" i="1" s="1"/>
  <c r="O614" i="1" s="1"/>
  <c r="R574" i="1"/>
  <c r="P568" i="1"/>
  <c r="V709" i="1"/>
  <c r="U710" i="1" s="1"/>
  <c r="T711" i="1" s="1"/>
  <c r="S712" i="1" s="1"/>
  <c r="R713" i="1" s="1"/>
  <c r="P523" i="1"/>
  <c r="O408" i="1"/>
  <c r="O410" i="1"/>
  <c r="N411" i="1" s="1"/>
  <c r="R590" i="1"/>
  <c r="Q589" i="1" s="1"/>
  <c r="Q530" i="1"/>
  <c r="P531" i="1" s="1"/>
  <c r="O532" i="1" s="1"/>
  <c r="N533" i="1" s="1"/>
  <c r="M534" i="1" s="1"/>
  <c r="L535" i="1" s="1"/>
  <c r="M322" i="1"/>
  <c r="K287" i="1"/>
  <c r="J288" i="1" s="1"/>
  <c r="I289" i="1" s="1"/>
  <c r="H290" i="1" s="1"/>
  <c r="D116" i="1"/>
  <c r="C117" i="1" s="1"/>
  <c r="B118" i="1" s="1"/>
  <c r="R637" i="1"/>
  <c r="R558" i="1"/>
  <c r="Q559" i="1" s="1"/>
  <c r="P560" i="1" s="1"/>
  <c r="O561" i="1" s="1"/>
  <c r="N562" i="1" s="1"/>
  <c r="M563" i="1" s="1"/>
  <c r="L371" i="1"/>
  <c r="K372" i="1" s="1"/>
  <c r="M299" i="1"/>
  <c r="L300" i="1" s="1"/>
  <c r="K301" i="1" s="1"/>
  <c r="J302" i="1" s="1"/>
  <c r="M297" i="1"/>
  <c r="J265" i="1"/>
  <c r="E160" i="1"/>
  <c r="W54" i="4"/>
  <c r="V55" i="4" s="1"/>
  <c r="U56" i="4" s="1"/>
  <c r="E138" i="1"/>
  <c r="D139" i="1" s="1"/>
  <c r="C140" i="1" s="1"/>
  <c r="X23" i="4"/>
  <c r="V43" i="4"/>
  <c r="U42" i="4" s="1"/>
  <c r="X55" i="5"/>
  <c r="W56" i="5" s="1"/>
  <c r="V57" i="5" s="1"/>
  <c r="U58" i="5" s="1"/>
  <c r="X53" i="5"/>
  <c r="W24" i="5"/>
  <c r="V25" i="5" s="1"/>
  <c r="V45" i="10"/>
  <c r="D102" i="1"/>
  <c r="C103" i="1" s="1"/>
  <c r="B104" i="1" s="1"/>
  <c r="W62" i="5"/>
  <c r="V63" i="5" s="1"/>
  <c r="U64" i="5" s="1"/>
  <c r="X31" i="4"/>
  <c r="X41" i="10"/>
  <c r="X63" i="5"/>
  <c r="W64" i="5" s="1"/>
  <c r="V65" i="5" s="1"/>
  <c r="V792" i="1"/>
  <c r="V794" i="1"/>
  <c r="O616" i="1"/>
  <c r="P562" i="1"/>
  <c r="O563" i="1" s="1"/>
  <c r="N564" i="1" s="1"/>
  <c r="P499" i="1"/>
  <c r="P497" i="1"/>
  <c r="O498" i="1" s="1"/>
  <c r="J369" i="1"/>
  <c r="I370" i="1" s="1"/>
  <c r="V839" i="1"/>
  <c r="U840" i="1" s="1"/>
  <c r="T841" i="1" s="1"/>
  <c r="J267" i="1"/>
  <c r="I268" i="1" s="1"/>
  <c r="H269" i="1" s="1"/>
  <c r="G270" i="1" s="1"/>
  <c r="F271" i="1" s="1"/>
  <c r="J327" i="1"/>
  <c r="I328" i="1" s="1"/>
  <c r="H329" i="1" s="1"/>
  <c r="G330" i="1" s="1"/>
  <c r="I235" i="1"/>
  <c r="X57" i="10"/>
  <c r="X59" i="10"/>
  <c r="W60" i="10" s="1"/>
  <c r="V61" i="10" s="1"/>
  <c r="U62" i="10" s="1"/>
  <c r="W830" i="1"/>
  <c r="V831" i="1" s="1"/>
  <c r="T723" i="1"/>
  <c r="S724" i="1" s="1"/>
  <c r="R725" i="1" s="1"/>
  <c r="T672" i="1"/>
  <c r="T670" i="1"/>
  <c r="Q581" i="1"/>
  <c r="P582" i="1" s="1"/>
  <c r="O583" i="1" s="1"/>
  <c r="P543" i="1"/>
  <c r="O453" i="1"/>
  <c r="N454" i="1" s="1"/>
  <c r="M455" i="1" s="1"/>
  <c r="K370" i="1"/>
  <c r="J371" i="1" s="1"/>
  <c r="S628" i="1"/>
  <c r="R629" i="1" s="1"/>
  <c r="N361" i="1"/>
  <c r="N363" i="1"/>
  <c r="M364" i="1" s="1"/>
  <c r="L365" i="1" s="1"/>
  <c r="K366" i="1" s="1"/>
  <c r="J367" i="1" s="1"/>
  <c r="L308" i="1"/>
  <c r="G178" i="1"/>
  <c r="F179" i="1" s="1"/>
  <c r="E180" i="1" s="1"/>
  <c r="D181" i="1" s="1"/>
  <c r="W840" i="1"/>
  <c r="V841" i="1" s="1"/>
  <c r="U842" i="1" s="1"/>
  <c r="Q474" i="1"/>
  <c r="P475" i="1" s="1"/>
  <c r="O476" i="1" s="1"/>
  <c r="Q472" i="1"/>
  <c r="C101" i="1"/>
  <c r="B102" i="1" s="1"/>
  <c r="A103" i="1" s="1"/>
  <c r="J98" i="1" s="1"/>
  <c r="J99" i="1" s="1"/>
  <c r="J271" i="1"/>
  <c r="I272" i="1" s="1"/>
  <c r="H273" i="1" s="1"/>
  <c r="J236" i="1"/>
  <c r="J238" i="1"/>
  <c r="I239" i="1" s="1"/>
  <c r="H240" i="1" s="1"/>
  <c r="G241" i="1" s="1"/>
  <c r="F242" i="1" s="1"/>
  <c r="L306" i="1"/>
  <c r="G164" i="1"/>
  <c r="W40" i="5"/>
  <c r="V41" i="5" s="1"/>
  <c r="Q587" i="1"/>
  <c r="F139" i="1"/>
  <c r="E140" i="1" s="1"/>
  <c r="D141" i="1" s="1"/>
  <c r="X37" i="5"/>
  <c r="W60" i="4"/>
  <c r="W24" i="10"/>
  <c r="X35" i="10"/>
  <c r="W36" i="10" s="1"/>
  <c r="V37" i="10" s="1"/>
  <c r="I264" i="1"/>
  <c r="G46" i="6"/>
  <c r="F47" i="6" s="1"/>
  <c r="V47" i="10"/>
  <c r="X847" i="1"/>
  <c r="V829" i="1"/>
  <c r="U830" i="1" s="1"/>
  <c r="W814" i="1"/>
  <c r="U765" i="1"/>
  <c r="T766" i="1" s="1"/>
  <c r="S767" i="1" s="1"/>
  <c r="U759" i="1"/>
  <c r="T760" i="1" s="1"/>
  <c r="S761" i="1" s="1"/>
  <c r="X821" i="1"/>
  <c r="T770" i="1"/>
  <c r="S771" i="1" s="1"/>
  <c r="U785" i="1"/>
  <c r="T786" i="1" s="1"/>
  <c r="S787" i="1" s="1"/>
  <c r="W751" i="1"/>
  <c r="V752" i="1" s="1"/>
  <c r="U753" i="1" s="1"/>
  <c r="T754" i="1" s="1"/>
  <c r="V731" i="1"/>
  <c r="U757" i="1"/>
  <c r="T758" i="1" s="1"/>
  <c r="S759" i="1" s="1"/>
  <c r="R760" i="1" s="1"/>
  <c r="T605" i="1"/>
  <c r="S606" i="1" s="1"/>
  <c r="R607" i="1" s="1"/>
  <c r="T603" i="1"/>
  <c r="U718" i="1"/>
  <c r="T623" i="1"/>
  <c r="W698" i="1"/>
  <c r="V699" i="1" s="1"/>
  <c r="U700" i="1" s="1"/>
  <c r="T701" i="1" s="1"/>
  <c r="S702" i="1" s="1"/>
  <c r="S577" i="1"/>
  <c r="R578" i="1" s="1"/>
  <c r="Q579" i="1" s="1"/>
  <c r="O492" i="1"/>
  <c r="N493" i="1" s="1"/>
  <c r="Q571" i="1"/>
  <c r="P541" i="1"/>
  <c r="P487" i="1"/>
  <c r="O488" i="1" s="1"/>
  <c r="N489" i="1" s="1"/>
  <c r="U661" i="1"/>
  <c r="R582" i="1"/>
  <c r="Q583" i="1" s="1"/>
  <c r="P584" i="1" s="1"/>
  <c r="P448" i="1"/>
  <c r="P450" i="1"/>
  <c r="O451" i="1" s="1"/>
  <c r="N452" i="1" s="1"/>
  <c r="M453" i="1" s="1"/>
  <c r="L454" i="1" s="1"/>
  <c r="K358" i="1"/>
  <c r="N413" i="1"/>
  <c r="M414" i="1" s="1"/>
  <c r="L415" i="1" s="1"/>
  <c r="L359" i="1"/>
  <c r="M360" i="1"/>
  <c r="Q528" i="1"/>
  <c r="F133" i="1"/>
  <c r="E134" i="1" s="1"/>
  <c r="D135" i="1" s="1"/>
  <c r="T633" i="1"/>
  <c r="S634" i="1" s="1"/>
  <c r="R635" i="1" s="1"/>
  <c r="Q636" i="1" s="1"/>
  <c r="Q618" i="1"/>
  <c r="Q431" i="1"/>
  <c r="Q433" i="1"/>
  <c r="P434" i="1" s="1"/>
  <c r="O435" i="1" s="1"/>
  <c r="N436" i="1" s="1"/>
  <c r="M437" i="1" s="1"/>
  <c r="L438" i="1" s="1"/>
  <c r="K439" i="1" s="1"/>
  <c r="J440" i="1" s="1"/>
  <c r="V53" i="4"/>
  <c r="U54" i="4" s="1"/>
  <c r="T55" i="4" s="1"/>
  <c r="V27" i="5"/>
  <c r="U28" i="5" s="1"/>
  <c r="T29" i="5" s="1"/>
  <c r="S30" i="5" s="1"/>
  <c r="N377" i="1"/>
  <c r="N379" i="1"/>
  <c r="M338" i="1"/>
  <c r="M340" i="1"/>
  <c r="L341" i="1" s="1"/>
  <c r="K268" i="1"/>
  <c r="J269" i="1" s="1"/>
  <c r="I270" i="1" s="1"/>
  <c r="H271" i="1" s="1"/>
  <c r="G272" i="1" s="1"/>
  <c r="H232" i="1"/>
  <c r="Q480" i="1"/>
  <c r="P481" i="1" s="1"/>
  <c r="O482" i="1" s="1"/>
  <c r="N483" i="1" s="1"/>
  <c r="J259" i="1"/>
  <c r="I206" i="1"/>
  <c r="H207" i="1" s="1"/>
  <c r="G208" i="1" s="1"/>
  <c r="F209" i="1" s="1"/>
  <c r="D157" i="1"/>
  <c r="C121" i="1"/>
  <c r="B120" i="1" s="1"/>
  <c r="X49" i="4"/>
  <c r="W50" i="4" s="1"/>
  <c r="V51" i="4" s="1"/>
  <c r="U52" i="4" s="1"/>
  <c r="T53" i="4" s="1"/>
  <c r="S54" i="4" s="1"/>
  <c r="X47" i="4"/>
  <c r="W48" i="4" s="1"/>
  <c r="V49" i="4" s="1"/>
  <c r="U50" i="4" s="1"/>
  <c r="T51" i="4" s="1"/>
  <c r="S52" i="4" s="1"/>
  <c r="R53" i="4" s="1"/>
  <c r="I216" i="1"/>
  <c r="H217" i="1" s="1"/>
  <c r="I214" i="1"/>
  <c r="W38" i="4"/>
  <c r="X21" i="5"/>
  <c r="W22" i="5" s="1"/>
  <c r="V23" i="5" s="1"/>
  <c r="U24" i="5" s="1"/>
  <c r="I40" i="6"/>
  <c r="X27" i="10"/>
  <c r="W28" i="10" s="1"/>
  <c r="V29" i="10" s="1"/>
  <c r="U30" i="10" s="1"/>
  <c r="X63" i="4"/>
  <c r="W64" i="4" s="1"/>
  <c r="V65" i="4" s="1"/>
  <c r="W50" i="10"/>
  <c r="V51" i="10" s="1"/>
  <c r="U52" i="10" s="1"/>
  <c r="I233" i="1"/>
  <c r="V39" i="4" l="1"/>
  <c r="U40" i="4" s="1"/>
  <c r="T41" i="4" s="1"/>
  <c r="V37" i="4"/>
  <c r="G233" i="1"/>
  <c r="H205" i="1"/>
  <c r="T719" i="1"/>
  <c r="S720" i="1" s="1"/>
  <c r="R721" i="1" s="1"/>
  <c r="Q722" i="1" s="1"/>
  <c r="P723" i="1" s="1"/>
  <c r="T717" i="1"/>
  <c r="V815" i="1"/>
  <c r="U816" i="1" s="1"/>
  <c r="V813" i="1"/>
  <c r="H265" i="1"/>
  <c r="G266" i="1" s="1"/>
  <c r="F267" i="1" s="1"/>
  <c r="E268" i="1" s="1"/>
  <c r="D269" i="1" s="1"/>
  <c r="F165" i="1"/>
  <c r="F163" i="1"/>
  <c r="H236" i="1"/>
  <c r="G237" i="1" s="1"/>
  <c r="F238" i="1" s="1"/>
  <c r="E239" i="1" s="1"/>
  <c r="D240" i="1" s="1"/>
  <c r="W54" i="5"/>
  <c r="V55" i="5" s="1"/>
  <c r="U56" i="5" s="1"/>
  <c r="T57" i="5" s="1"/>
  <c r="W52" i="5"/>
  <c r="L323" i="1"/>
  <c r="K324" i="1" s="1"/>
  <c r="J325" i="1" s="1"/>
  <c r="I326" i="1" s="1"/>
  <c r="H327" i="1" s="1"/>
  <c r="G328" i="1" s="1"/>
  <c r="F329" i="1" s="1"/>
  <c r="L321" i="1"/>
  <c r="N615" i="1"/>
  <c r="U777" i="1"/>
  <c r="U775" i="1"/>
  <c r="O528" i="1"/>
  <c r="N529" i="1" s="1"/>
  <c r="M530" i="1" s="1"/>
  <c r="L531" i="1" s="1"/>
  <c r="K532" i="1" s="1"/>
  <c r="J533" i="1" s="1"/>
  <c r="T662" i="1"/>
  <c r="S663" i="1" s="1"/>
  <c r="R664" i="1" s="1"/>
  <c r="Q665" i="1" s="1"/>
  <c r="T660" i="1"/>
  <c r="S604" i="1"/>
  <c r="R605" i="1" s="1"/>
  <c r="Q606" i="1" s="1"/>
  <c r="S602" i="1"/>
  <c r="R603" i="1" s="1"/>
  <c r="Q604" i="1" s="1"/>
  <c r="P605" i="1" s="1"/>
  <c r="W822" i="1"/>
  <c r="V823" i="1" s="1"/>
  <c r="U824" i="1" s="1"/>
  <c r="T825" i="1" s="1"/>
  <c r="W820" i="1"/>
  <c r="V61" i="5"/>
  <c r="I237" i="1"/>
  <c r="H238" i="1" s="1"/>
  <c r="G239" i="1" s="1"/>
  <c r="F240" i="1" s="1"/>
  <c r="E241" i="1" s="1"/>
  <c r="N584" i="1"/>
  <c r="W58" i="10"/>
  <c r="V59" i="10" s="1"/>
  <c r="U60" i="10" s="1"/>
  <c r="T61" i="10" s="1"/>
  <c r="G231" i="1"/>
  <c r="A119" i="1"/>
  <c r="K113" i="1" s="1"/>
  <c r="K114" i="1" s="1"/>
  <c r="J357" i="1"/>
  <c r="S769" i="1"/>
  <c r="R770" i="1" s="1"/>
  <c r="W62" i="4"/>
  <c r="V63" i="4" s="1"/>
  <c r="U64" i="4" s="1"/>
  <c r="N491" i="1"/>
  <c r="M492" i="1" s="1"/>
  <c r="S632" i="1"/>
  <c r="U779" i="1"/>
  <c r="T780" i="1" s="1"/>
  <c r="S781" i="1" s="1"/>
  <c r="R782" i="1" s="1"/>
  <c r="Q783" i="1" s="1"/>
  <c r="P784" i="1" s="1"/>
  <c r="W26" i="10"/>
  <c r="V27" i="10" s="1"/>
  <c r="U28" i="10" s="1"/>
  <c r="T29" i="10" s="1"/>
  <c r="P432" i="1"/>
  <c r="O433" i="1" s="1"/>
  <c r="N434" i="1" s="1"/>
  <c r="M435" i="1" s="1"/>
  <c r="L436" i="1" s="1"/>
  <c r="K437" i="1" s="1"/>
  <c r="J438" i="1" s="1"/>
  <c r="I439" i="1" s="1"/>
  <c r="P430" i="1"/>
  <c r="P529" i="1"/>
  <c r="O530" i="1" s="1"/>
  <c r="N531" i="1" s="1"/>
  <c r="M532" i="1" s="1"/>
  <c r="L533" i="1" s="1"/>
  <c r="K534" i="1" s="1"/>
  <c r="M490" i="1"/>
  <c r="L491" i="1" s="1"/>
  <c r="W46" i="4"/>
  <c r="L339" i="1"/>
  <c r="K340" i="1" s="1"/>
  <c r="L337" i="1"/>
  <c r="L361" i="1"/>
  <c r="K362" i="1" s="1"/>
  <c r="J363" i="1" s="1"/>
  <c r="I364" i="1" s="1"/>
  <c r="H365" i="1" s="1"/>
  <c r="Q557" i="1"/>
  <c r="P558" i="1" s="1"/>
  <c r="O559" i="1" s="1"/>
  <c r="N560" i="1" s="1"/>
  <c r="M561" i="1" s="1"/>
  <c r="L562" i="1" s="1"/>
  <c r="O585" i="1"/>
  <c r="O542" i="1"/>
  <c r="O540" i="1"/>
  <c r="U48" i="10"/>
  <c r="T49" i="10" s="1"/>
  <c r="S50" i="10" s="1"/>
  <c r="W56" i="10"/>
  <c r="P588" i="1"/>
  <c r="V59" i="4"/>
  <c r="M362" i="1"/>
  <c r="L363" i="1" s="1"/>
  <c r="K364" i="1" s="1"/>
  <c r="J365" i="1" s="1"/>
  <c r="I366" i="1" s="1"/>
  <c r="S673" i="1"/>
  <c r="R674" i="1" s="1"/>
  <c r="Q675" i="1" s="1"/>
  <c r="D137" i="1"/>
  <c r="C138" i="1" s="1"/>
  <c r="B139" i="1" s="1"/>
  <c r="U793" i="1"/>
  <c r="U791" i="1"/>
  <c r="W42" i="10"/>
  <c r="V43" i="10" s="1"/>
  <c r="U44" i="10" s="1"/>
  <c r="T45" i="10" s="1"/>
  <c r="W40" i="10"/>
  <c r="U26" i="5"/>
  <c r="T27" i="5" s="1"/>
  <c r="S28" i="5" s="1"/>
  <c r="R29" i="5" s="1"/>
  <c r="W24" i="4"/>
  <c r="V25" i="4" s="1"/>
  <c r="U26" i="4" s="1"/>
  <c r="W22" i="4"/>
  <c r="V23" i="4" s="1"/>
  <c r="U24" i="4" s="1"/>
  <c r="T25" i="4" s="1"/>
  <c r="L298" i="1"/>
  <c r="K299" i="1" s="1"/>
  <c r="J300" i="1" s="1"/>
  <c r="I301" i="1" s="1"/>
  <c r="L296" i="1"/>
  <c r="N409" i="1"/>
  <c r="M410" i="1" s="1"/>
  <c r="N407" i="1"/>
  <c r="Q575" i="1"/>
  <c r="P576" i="1" s="1"/>
  <c r="O577" i="1" s="1"/>
  <c r="N578" i="1" s="1"/>
  <c r="M579" i="1" s="1"/>
  <c r="L580" i="1" s="1"/>
  <c r="T682" i="1"/>
  <c r="S683" i="1" s="1"/>
  <c r="R684" i="1" s="1"/>
  <c r="T680" i="1"/>
  <c r="W836" i="1"/>
  <c r="V837" i="1" s="1"/>
  <c r="U838" i="1" s="1"/>
  <c r="T839" i="1" s="1"/>
  <c r="S840" i="1" s="1"/>
  <c r="W834" i="1"/>
  <c r="Q573" i="1"/>
  <c r="W46" i="5"/>
  <c r="V47" i="5" s="1"/>
  <c r="U48" i="5" s="1"/>
  <c r="W44" i="5"/>
  <c r="L403" i="1"/>
  <c r="O567" i="1"/>
  <c r="T705" i="1"/>
  <c r="E48" i="6"/>
  <c r="F47" i="7"/>
  <c r="E48" i="7" s="1"/>
  <c r="R627" i="1"/>
  <c r="Q628" i="1" s="1"/>
  <c r="F45" i="6"/>
  <c r="O524" i="1"/>
  <c r="N525" i="1" s="1"/>
  <c r="O522" i="1"/>
  <c r="H263" i="1"/>
  <c r="O587" i="1"/>
  <c r="P570" i="1"/>
  <c r="H234" i="1"/>
  <c r="H215" i="1"/>
  <c r="G216" i="1" s="1"/>
  <c r="H213" i="1"/>
  <c r="I260" i="1"/>
  <c r="H261" i="1" s="1"/>
  <c r="G262" i="1" s="1"/>
  <c r="I258" i="1"/>
  <c r="H259" i="1" s="1"/>
  <c r="G260" i="1" s="1"/>
  <c r="F261" i="1" s="1"/>
  <c r="M378" i="1"/>
  <c r="M376" i="1"/>
  <c r="U732" i="1"/>
  <c r="T733" i="1" s="1"/>
  <c r="S734" i="1" s="1"/>
  <c r="R735" i="1" s="1"/>
  <c r="Q736" i="1" s="1"/>
  <c r="U730" i="1"/>
  <c r="W38" i="5"/>
  <c r="V39" i="5" s="1"/>
  <c r="U40" i="5" s="1"/>
  <c r="W36" i="5"/>
  <c r="P473" i="1"/>
  <c r="O474" i="1" s="1"/>
  <c r="N475" i="1" s="1"/>
  <c r="P471" i="1"/>
  <c r="T827" i="1"/>
  <c r="S828" i="1" s="1"/>
  <c r="W34" i="10"/>
  <c r="O526" i="1"/>
  <c r="S687" i="1"/>
  <c r="R686" i="1" s="1"/>
  <c r="H41" i="6"/>
  <c r="G42" i="6" s="1"/>
  <c r="F43" i="6" s="1"/>
  <c r="H39" i="6"/>
  <c r="O447" i="1"/>
  <c r="O449" i="1"/>
  <c r="N450" i="1" s="1"/>
  <c r="M451" i="1" s="1"/>
  <c r="L452" i="1" s="1"/>
  <c r="K453" i="1" s="1"/>
  <c r="P580" i="1"/>
  <c r="O581" i="1" s="1"/>
  <c r="N582" i="1" s="1"/>
  <c r="S624" i="1"/>
  <c r="R625" i="1" s="1"/>
  <c r="S622" i="1"/>
  <c r="Q608" i="1"/>
  <c r="P609" i="1" s="1"/>
  <c r="O610" i="1" s="1"/>
  <c r="N611" i="1" s="1"/>
  <c r="M612" i="1" s="1"/>
  <c r="W848" i="1"/>
  <c r="V849" i="1" s="1"/>
  <c r="W846" i="1"/>
  <c r="F185" i="1"/>
  <c r="V23" i="10"/>
  <c r="K307" i="1"/>
  <c r="K305" i="1"/>
  <c r="I368" i="1"/>
  <c r="H369" i="1" s="1"/>
  <c r="S671" i="1"/>
  <c r="R672" i="1" s="1"/>
  <c r="Q673" i="1" s="1"/>
  <c r="P674" i="1" s="1"/>
  <c r="S669" i="1"/>
  <c r="T756" i="1"/>
  <c r="S757" i="1" s="1"/>
  <c r="R758" i="1" s="1"/>
  <c r="Q759" i="1" s="1"/>
  <c r="W32" i="4"/>
  <c r="V33" i="4" s="1"/>
  <c r="U34" i="4" s="1"/>
  <c r="W30" i="4"/>
  <c r="U46" i="10"/>
  <c r="P479" i="1"/>
  <c r="I266" i="1"/>
  <c r="H267" i="1" s="1"/>
  <c r="G268" i="1" s="1"/>
  <c r="F269" i="1" s="1"/>
  <c r="E270" i="1" s="1"/>
  <c r="R609" i="1"/>
  <c r="Q610" i="1" s="1"/>
  <c r="P611" i="1" s="1"/>
  <c r="O612" i="1" s="1"/>
  <c r="N613" i="1" s="1"/>
  <c r="M412" i="1"/>
  <c r="L413" i="1" s="1"/>
  <c r="K414" i="1" s="1"/>
  <c r="O486" i="1"/>
  <c r="T654" i="1"/>
  <c r="S655" i="1" s="1"/>
  <c r="R656" i="1" s="1"/>
  <c r="T652" i="1"/>
  <c r="N495" i="1"/>
  <c r="M496" i="1" s="1"/>
  <c r="S763" i="1"/>
  <c r="R764" i="1" s="1"/>
  <c r="Q765" i="1" s="1"/>
  <c r="V65" i="10"/>
  <c r="U64" i="10" s="1"/>
  <c r="T63" i="10" s="1"/>
  <c r="N393" i="1"/>
  <c r="M394" i="1" s="1"/>
  <c r="L395" i="1" s="1"/>
  <c r="K396" i="1" s="1"/>
  <c r="J397" i="1" s="1"/>
  <c r="I398" i="1" s="1"/>
  <c r="N391" i="1"/>
  <c r="M392" i="1" s="1"/>
  <c r="L393" i="1" s="1"/>
  <c r="K394" i="1" s="1"/>
  <c r="J395" i="1" s="1"/>
  <c r="I396" i="1" s="1"/>
  <c r="H397" i="1" s="1"/>
  <c r="D159" i="1"/>
  <c r="R576" i="1"/>
  <c r="Q577" i="1" s="1"/>
  <c r="P578" i="1" s="1"/>
  <c r="O579" i="1" s="1"/>
  <c r="N580" i="1" s="1"/>
  <c r="M581" i="1" s="1"/>
  <c r="L613" i="1" l="1"/>
  <c r="E44" i="6"/>
  <c r="F43" i="7"/>
  <c r="V35" i="10"/>
  <c r="U36" i="10" s="1"/>
  <c r="V33" i="10"/>
  <c r="S706" i="1"/>
  <c r="R707" i="1" s="1"/>
  <c r="Q708" i="1" s="1"/>
  <c r="P709" i="1" s="1"/>
  <c r="O710" i="1" s="1"/>
  <c r="S704" i="1"/>
  <c r="V45" i="5"/>
  <c r="U46" i="5" s="1"/>
  <c r="T47" i="5" s="1"/>
  <c r="V43" i="5"/>
  <c r="V835" i="1"/>
  <c r="U836" i="1" s="1"/>
  <c r="T837" i="1" s="1"/>
  <c r="S838" i="1" s="1"/>
  <c r="R839" i="1" s="1"/>
  <c r="V833" i="1"/>
  <c r="V57" i="10"/>
  <c r="U58" i="10" s="1"/>
  <c r="T59" i="10" s="1"/>
  <c r="S60" i="10" s="1"/>
  <c r="R61" i="10" s="1"/>
  <c r="V55" i="10"/>
  <c r="N541" i="1"/>
  <c r="N539" i="1"/>
  <c r="S62" i="10"/>
  <c r="U62" i="5"/>
  <c r="T63" i="5" s="1"/>
  <c r="U60" i="5"/>
  <c r="M614" i="1"/>
  <c r="N448" i="1"/>
  <c r="M449" i="1" s="1"/>
  <c r="L450" i="1" s="1"/>
  <c r="K451" i="1" s="1"/>
  <c r="J452" i="1" s="1"/>
  <c r="N446" i="1"/>
  <c r="O472" i="1"/>
  <c r="N473" i="1" s="1"/>
  <c r="M474" i="1" s="1"/>
  <c r="O470" i="1"/>
  <c r="N471" i="1" s="1"/>
  <c r="M472" i="1" s="1"/>
  <c r="L473" i="1" s="1"/>
  <c r="K360" i="1"/>
  <c r="K297" i="1"/>
  <c r="J298" i="1" s="1"/>
  <c r="I299" i="1" s="1"/>
  <c r="H300" i="1" s="1"/>
  <c r="K295" i="1"/>
  <c r="V47" i="4"/>
  <c r="U48" i="4" s="1"/>
  <c r="T49" i="4" s="1"/>
  <c r="S50" i="4" s="1"/>
  <c r="R51" i="4" s="1"/>
  <c r="Q52" i="4" s="1"/>
  <c r="V45" i="4"/>
  <c r="P607" i="1"/>
  <c r="O608" i="1" s="1"/>
  <c r="N609" i="1" s="1"/>
  <c r="M610" i="1" s="1"/>
  <c r="L611" i="1" s="1"/>
  <c r="K322" i="1"/>
  <c r="J323" i="1" s="1"/>
  <c r="I324" i="1" s="1"/>
  <c r="H325" i="1" s="1"/>
  <c r="G326" i="1" s="1"/>
  <c r="F327" i="1" s="1"/>
  <c r="E328" i="1" s="1"/>
  <c r="K320" i="1"/>
  <c r="U814" i="1"/>
  <c r="T815" i="1" s="1"/>
  <c r="U812" i="1"/>
  <c r="L582" i="1"/>
  <c r="V25" i="10"/>
  <c r="U26" i="10" s="1"/>
  <c r="T27" i="10" s="1"/>
  <c r="S28" i="10" s="1"/>
  <c r="R762" i="1"/>
  <c r="N487" i="1"/>
  <c r="M488" i="1" s="1"/>
  <c r="L489" i="1" s="1"/>
  <c r="K490" i="1" s="1"/>
  <c r="N485" i="1"/>
  <c r="V31" i="4"/>
  <c r="U32" i="4" s="1"/>
  <c r="T33" i="4" s="1"/>
  <c r="V29" i="4"/>
  <c r="R670" i="1"/>
  <c r="Q671" i="1" s="1"/>
  <c r="P672" i="1" s="1"/>
  <c r="O673" i="1" s="1"/>
  <c r="R668" i="1"/>
  <c r="J306" i="1"/>
  <c r="J304" i="1"/>
  <c r="E186" i="1"/>
  <c r="D187" i="1" s="1"/>
  <c r="E184" i="1"/>
  <c r="S755" i="1"/>
  <c r="R756" i="1" s="1"/>
  <c r="Q757" i="1" s="1"/>
  <c r="P758" i="1" s="1"/>
  <c r="M583" i="1"/>
  <c r="G40" i="6"/>
  <c r="F41" i="6" s="1"/>
  <c r="G38" i="6"/>
  <c r="F39" i="6" s="1"/>
  <c r="N527" i="1"/>
  <c r="M528" i="1" s="1"/>
  <c r="L529" i="1" s="1"/>
  <c r="K530" i="1" s="1"/>
  <c r="J531" i="1" s="1"/>
  <c r="I532" i="1" s="1"/>
  <c r="V37" i="5"/>
  <c r="U38" i="5" s="1"/>
  <c r="T39" i="5" s="1"/>
  <c r="V35" i="5"/>
  <c r="L377" i="1"/>
  <c r="L375" i="1"/>
  <c r="G214" i="1"/>
  <c r="F215" i="1" s="1"/>
  <c r="G212" i="1"/>
  <c r="O571" i="1"/>
  <c r="N572" i="1" s="1"/>
  <c r="M573" i="1" s="1"/>
  <c r="L574" i="1" s="1"/>
  <c r="K575" i="1" s="1"/>
  <c r="J576" i="1" s="1"/>
  <c r="I577" i="1" s="1"/>
  <c r="N566" i="1"/>
  <c r="Q685" i="1"/>
  <c r="L411" i="1"/>
  <c r="K412" i="1" s="1"/>
  <c r="J413" i="1" s="1"/>
  <c r="V41" i="10"/>
  <c r="U42" i="10" s="1"/>
  <c r="T43" i="10" s="1"/>
  <c r="S44" i="10" s="1"/>
  <c r="V39" i="10"/>
  <c r="H367" i="1"/>
  <c r="G368" i="1" s="1"/>
  <c r="V61" i="4"/>
  <c r="U62" i="4" s="1"/>
  <c r="T63" i="4" s="1"/>
  <c r="K338" i="1"/>
  <c r="J339" i="1" s="1"/>
  <c r="K336" i="1"/>
  <c r="T25" i="5"/>
  <c r="S26" i="5" s="1"/>
  <c r="R27" i="5" s="1"/>
  <c r="Q28" i="5" s="1"/>
  <c r="O431" i="1"/>
  <c r="N432" i="1" s="1"/>
  <c r="M433" i="1" s="1"/>
  <c r="L434" i="1" s="1"/>
  <c r="K435" i="1" s="1"/>
  <c r="J436" i="1" s="1"/>
  <c r="I437" i="1" s="1"/>
  <c r="H438" i="1" s="1"/>
  <c r="O429" i="1"/>
  <c r="N430" i="1" s="1"/>
  <c r="M431" i="1" s="1"/>
  <c r="L432" i="1" s="1"/>
  <c r="K433" i="1" s="1"/>
  <c r="J434" i="1" s="1"/>
  <c r="I435" i="1" s="1"/>
  <c r="H436" i="1" s="1"/>
  <c r="G437" i="1" s="1"/>
  <c r="O569" i="1"/>
  <c r="S826" i="1"/>
  <c r="R827" i="1" s="1"/>
  <c r="S661" i="1"/>
  <c r="R662" i="1" s="1"/>
  <c r="Q663" i="1" s="1"/>
  <c r="P664" i="1" s="1"/>
  <c r="S659" i="1"/>
  <c r="U38" i="4"/>
  <c r="T39" i="4" s="1"/>
  <c r="S40" i="4" s="1"/>
  <c r="U36" i="4"/>
  <c r="T37" i="4" s="1"/>
  <c r="S38" i="4" s="1"/>
  <c r="R39" i="4" s="1"/>
  <c r="O480" i="1"/>
  <c r="N481" i="1" s="1"/>
  <c r="M482" i="1" s="1"/>
  <c r="O478" i="1"/>
  <c r="V847" i="1"/>
  <c r="U848" i="1" s="1"/>
  <c r="V845" i="1"/>
  <c r="N523" i="1"/>
  <c r="M524" i="1" s="1"/>
  <c r="N521" i="1"/>
  <c r="G366" i="1"/>
  <c r="F367" i="1" s="1"/>
  <c r="S718" i="1"/>
  <c r="R719" i="1" s="1"/>
  <c r="Q720" i="1" s="1"/>
  <c r="P721" i="1" s="1"/>
  <c r="O722" i="1" s="1"/>
  <c r="S716" i="1"/>
  <c r="G206" i="1"/>
  <c r="F207" i="1" s="1"/>
  <c r="E208" i="1" s="1"/>
  <c r="G204" i="1"/>
  <c r="F205" i="1" s="1"/>
  <c r="E206" i="1" s="1"/>
  <c r="D207" i="1" s="1"/>
  <c r="S653" i="1"/>
  <c r="R654" i="1" s="1"/>
  <c r="Q655" i="1" s="1"/>
  <c r="S651" i="1"/>
  <c r="R652" i="1" s="1"/>
  <c r="Q653" i="1" s="1"/>
  <c r="P654" i="1" s="1"/>
  <c r="U24" i="10"/>
  <c r="T25" i="10" s="1"/>
  <c r="S26" i="10" s="1"/>
  <c r="R27" i="10" s="1"/>
  <c r="R623" i="1"/>
  <c r="Q624" i="1" s="1"/>
  <c r="R621" i="1"/>
  <c r="T792" i="1"/>
  <c r="T790" i="1"/>
  <c r="U60" i="4"/>
  <c r="T61" i="4" s="1"/>
  <c r="S62" i="4" s="1"/>
  <c r="U58" i="4"/>
  <c r="T776" i="1"/>
  <c r="T774" i="1"/>
  <c r="V53" i="5"/>
  <c r="U54" i="5" s="1"/>
  <c r="T55" i="5" s="1"/>
  <c r="S56" i="5" s="1"/>
  <c r="V51" i="5"/>
  <c r="T47" i="10"/>
  <c r="S48" i="10" s="1"/>
  <c r="R49" i="10" s="1"/>
  <c r="Q626" i="1"/>
  <c r="P627" i="1" s="1"/>
  <c r="T731" i="1"/>
  <c r="S732" i="1" s="1"/>
  <c r="R733" i="1" s="1"/>
  <c r="Q734" i="1" s="1"/>
  <c r="P735" i="1" s="1"/>
  <c r="T729" i="1"/>
  <c r="C136" i="1"/>
  <c r="B137" i="1" s="1"/>
  <c r="A138" i="1" s="1"/>
  <c r="L131" i="1" s="1"/>
  <c r="L132" i="1" s="1"/>
  <c r="G235" i="1"/>
  <c r="F236" i="1" s="1"/>
  <c r="E237" i="1" s="1"/>
  <c r="D238" i="1" s="1"/>
  <c r="C239" i="1" s="1"/>
  <c r="G264" i="1"/>
  <c r="F265" i="1" s="1"/>
  <c r="E266" i="1" s="1"/>
  <c r="D267" i="1" s="1"/>
  <c r="C268" i="1" s="1"/>
  <c r="E46" i="6"/>
  <c r="D47" i="6" s="1"/>
  <c r="F45" i="7"/>
  <c r="E46" i="7" s="1"/>
  <c r="D47" i="7" s="1"/>
  <c r="K402" i="1"/>
  <c r="P574" i="1"/>
  <c r="O575" i="1" s="1"/>
  <c r="N576" i="1" s="1"/>
  <c r="M577" i="1" s="1"/>
  <c r="L578" i="1" s="1"/>
  <c r="K579" i="1" s="1"/>
  <c r="S681" i="1"/>
  <c r="R682" i="1" s="1"/>
  <c r="Q683" i="1" s="1"/>
  <c r="P684" i="1" s="1"/>
  <c r="S679" i="1"/>
  <c r="M408" i="1"/>
  <c r="L409" i="1" s="1"/>
  <c r="K410" i="1" s="1"/>
  <c r="J411" i="1" s="1"/>
  <c r="I412" i="1" s="1"/>
  <c r="M406" i="1"/>
  <c r="R768" i="1"/>
  <c r="N586" i="1"/>
  <c r="M585" i="1" s="1"/>
  <c r="C158" i="1"/>
  <c r="R633" i="1"/>
  <c r="Q634" i="1" s="1"/>
  <c r="P635" i="1" s="1"/>
  <c r="R631" i="1"/>
  <c r="F232" i="1"/>
  <c r="V821" i="1"/>
  <c r="U822" i="1" s="1"/>
  <c r="T823" i="1" s="1"/>
  <c r="S824" i="1" s="1"/>
  <c r="R825" i="1" s="1"/>
  <c r="Q826" i="1" s="1"/>
  <c r="V819" i="1"/>
  <c r="M494" i="1"/>
  <c r="L495" i="1" s="1"/>
  <c r="T778" i="1"/>
  <c r="S779" i="1" s="1"/>
  <c r="R780" i="1" s="1"/>
  <c r="Q781" i="1" s="1"/>
  <c r="P782" i="1" s="1"/>
  <c r="O783" i="1" s="1"/>
  <c r="E164" i="1"/>
  <c r="E162" i="1"/>
  <c r="P572" i="1"/>
  <c r="O573" i="1" s="1"/>
  <c r="N574" i="1" s="1"/>
  <c r="M575" i="1" s="1"/>
  <c r="L576" i="1" s="1"/>
  <c r="K577" i="1" s="1"/>
  <c r="J578" i="1" s="1"/>
  <c r="J401" i="1" l="1"/>
  <c r="M522" i="1"/>
  <c r="L523" i="1" s="1"/>
  <c r="M520" i="1"/>
  <c r="U40" i="10"/>
  <c r="T41" i="10" s="1"/>
  <c r="S42" i="10" s="1"/>
  <c r="R43" i="10" s="1"/>
  <c r="Q44" i="10" s="1"/>
  <c r="P45" i="10" s="1"/>
  <c r="O46" i="10" s="1"/>
  <c r="U38" i="10"/>
  <c r="M565" i="1"/>
  <c r="K376" i="1"/>
  <c r="K374" i="1"/>
  <c r="J361" i="1"/>
  <c r="I362" i="1" s="1"/>
  <c r="H363" i="1" s="1"/>
  <c r="G364" i="1" s="1"/>
  <c r="F365" i="1" s="1"/>
  <c r="E366" i="1" s="1"/>
  <c r="J359" i="1"/>
  <c r="M447" i="1"/>
  <c r="L448" i="1" s="1"/>
  <c r="K449" i="1" s="1"/>
  <c r="J450" i="1" s="1"/>
  <c r="I451" i="1" s="1"/>
  <c r="M445" i="1"/>
  <c r="U44" i="5"/>
  <c r="T45" i="5" s="1"/>
  <c r="S46" i="5" s="1"/>
  <c r="U42" i="5"/>
  <c r="S775" i="1"/>
  <c r="R776" i="1" s="1"/>
  <c r="Q777" i="1" s="1"/>
  <c r="P778" i="1" s="1"/>
  <c r="O779" i="1" s="1"/>
  <c r="N780" i="1" s="1"/>
  <c r="M781" i="1" s="1"/>
  <c r="S773" i="1"/>
  <c r="D185" i="1"/>
  <c r="C186" i="1" s="1"/>
  <c r="D183" i="1"/>
  <c r="Q669" i="1"/>
  <c r="P670" i="1" s="1"/>
  <c r="O671" i="1" s="1"/>
  <c r="N672" i="1" s="1"/>
  <c r="Q667" i="1"/>
  <c r="M486" i="1"/>
  <c r="L487" i="1" s="1"/>
  <c r="K488" i="1" s="1"/>
  <c r="J489" i="1" s="1"/>
  <c r="M484" i="1"/>
  <c r="L485" i="1" s="1"/>
  <c r="K486" i="1" s="1"/>
  <c r="J487" i="1" s="1"/>
  <c r="I488" i="1" s="1"/>
  <c r="Q763" i="1"/>
  <c r="P764" i="1" s="1"/>
  <c r="Q761" i="1"/>
  <c r="T813" i="1"/>
  <c r="S814" i="1" s="1"/>
  <c r="T811" i="1"/>
  <c r="K612" i="1"/>
  <c r="T37" i="10"/>
  <c r="U820" i="1"/>
  <c r="T821" i="1" s="1"/>
  <c r="S822" i="1" s="1"/>
  <c r="R823" i="1" s="1"/>
  <c r="Q824" i="1" s="1"/>
  <c r="P825" i="1" s="1"/>
  <c r="U818" i="1"/>
  <c r="Q769" i="1"/>
  <c r="Q767" i="1"/>
  <c r="L407" i="1"/>
  <c r="K408" i="1" s="1"/>
  <c r="J409" i="1" s="1"/>
  <c r="I410" i="1" s="1"/>
  <c r="H411" i="1" s="1"/>
  <c r="L405" i="1"/>
  <c r="J580" i="1"/>
  <c r="U52" i="5"/>
  <c r="T53" i="5" s="1"/>
  <c r="S54" i="5" s="1"/>
  <c r="R55" i="5" s="1"/>
  <c r="U50" i="5"/>
  <c r="S791" i="1"/>
  <c r="S789" i="1"/>
  <c r="M526" i="1"/>
  <c r="L527" i="1" s="1"/>
  <c r="K528" i="1" s="1"/>
  <c r="J529" i="1" s="1"/>
  <c r="I530" i="1" s="1"/>
  <c r="H531" i="1" s="1"/>
  <c r="K581" i="1"/>
  <c r="U846" i="1"/>
  <c r="T847" i="1" s="1"/>
  <c r="U844" i="1"/>
  <c r="L483" i="1"/>
  <c r="K484" i="1" s="1"/>
  <c r="J485" i="1" s="1"/>
  <c r="I486" i="1" s="1"/>
  <c r="H487" i="1" s="1"/>
  <c r="R660" i="1"/>
  <c r="Q661" i="1" s="1"/>
  <c r="P662" i="1" s="1"/>
  <c r="O663" i="1" s="1"/>
  <c r="R658" i="1"/>
  <c r="L493" i="1"/>
  <c r="J337" i="1"/>
  <c r="I338" i="1" s="1"/>
  <c r="J335" i="1"/>
  <c r="L584" i="1"/>
  <c r="K583" i="1" s="1"/>
  <c r="I305" i="1"/>
  <c r="I303" i="1"/>
  <c r="U30" i="4"/>
  <c r="T31" i="4" s="1"/>
  <c r="S32" i="4" s="1"/>
  <c r="U28" i="4"/>
  <c r="J321" i="1"/>
  <c r="I322" i="1" s="1"/>
  <c r="H323" i="1" s="1"/>
  <c r="G324" i="1" s="1"/>
  <c r="F325" i="1" s="1"/>
  <c r="E326" i="1" s="1"/>
  <c r="D327" i="1" s="1"/>
  <c r="J296" i="1"/>
  <c r="I297" i="1" s="1"/>
  <c r="H298" i="1" s="1"/>
  <c r="G299" i="1" s="1"/>
  <c r="J294" i="1"/>
  <c r="U56" i="10"/>
  <c r="T57" i="10" s="1"/>
  <c r="S58" i="10" s="1"/>
  <c r="R59" i="10" s="1"/>
  <c r="Q60" i="10" s="1"/>
  <c r="U54" i="10"/>
  <c r="D45" i="6"/>
  <c r="C46" i="6" s="1"/>
  <c r="S730" i="1"/>
  <c r="R731" i="1" s="1"/>
  <c r="Q732" i="1" s="1"/>
  <c r="P733" i="1" s="1"/>
  <c r="O734" i="1" s="1"/>
  <c r="S728" i="1"/>
  <c r="U46" i="4"/>
  <c r="T47" i="4" s="1"/>
  <c r="S48" i="4" s="1"/>
  <c r="R49" i="4" s="1"/>
  <c r="Q50" i="4" s="1"/>
  <c r="P51" i="4" s="1"/>
  <c r="U44" i="4"/>
  <c r="U34" i="10"/>
  <c r="T35" i="10" s="1"/>
  <c r="U32" i="10"/>
  <c r="D163" i="1"/>
  <c r="D161" i="1"/>
  <c r="R680" i="1"/>
  <c r="Q681" i="1" s="1"/>
  <c r="P682" i="1" s="1"/>
  <c r="O683" i="1" s="1"/>
  <c r="R678" i="1"/>
  <c r="F234" i="1"/>
  <c r="E235" i="1" s="1"/>
  <c r="D236" i="1" s="1"/>
  <c r="C237" i="1" s="1"/>
  <c r="B238" i="1" s="1"/>
  <c r="T59" i="4"/>
  <c r="S60" i="4" s="1"/>
  <c r="R61" i="4" s="1"/>
  <c r="T57" i="4"/>
  <c r="Q622" i="1"/>
  <c r="P623" i="1" s="1"/>
  <c r="Q620" i="1"/>
  <c r="R45" i="10"/>
  <c r="Q46" i="10" s="1"/>
  <c r="P47" i="10" s="1"/>
  <c r="F39" i="7"/>
  <c r="E40" i="6"/>
  <c r="D41" i="6" s="1"/>
  <c r="C42" i="6" s="1"/>
  <c r="T61" i="5"/>
  <c r="S62" i="5" s="1"/>
  <c r="T59" i="5"/>
  <c r="M540" i="1"/>
  <c r="M538" i="1"/>
  <c r="T35" i="4"/>
  <c r="S36" i="4" s="1"/>
  <c r="R37" i="4" s="1"/>
  <c r="Q38" i="4" s="1"/>
  <c r="Q632" i="1"/>
  <c r="P633" i="1" s="1"/>
  <c r="O634" i="1" s="1"/>
  <c r="Q630" i="1"/>
  <c r="F263" i="1"/>
  <c r="S777" i="1"/>
  <c r="R778" i="1" s="1"/>
  <c r="Q779" i="1" s="1"/>
  <c r="P780" i="1" s="1"/>
  <c r="O781" i="1" s="1"/>
  <c r="N782" i="1" s="1"/>
  <c r="P625" i="1"/>
  <c r="O626" i="1" s="1"/>
  <c r="R717" i="1"/>
  <c r="Q718" i="1" s="1"/>
  <c r="P719" i="1" s="1"/>
  <c r="O720" i="1" s="1"/>
  <c r="N721" i="1" s="1"/>
  <c r="R715" i="1"/>
  <c r="O606" i="1"/>
  <c r="N607" i="1" s="1"/>
  <c r="M608" i="1" s="1"/>
  <c r="L609" i="1" s="1"/>
  <c r="K610" i="1" s="1"/>
  <c r="J611" i="1" s="1"/>
  <c r="S46" i="10"/>
  <c r="R47" i="10" s="1"/>
  <c r="Q48" i="10" s="1"/>
  <c r="N479" i="1"/>
  <c r="M480" i="1" s="1"/>
  <c r="L481" i="1" s="1"/>
  <c r="K482" i="1" s="1"/>
  <c r="J483" i="1" s="1"/>
  <c r="I484" i="1" s="1"/>
  <c r="H485" i="1" s="1"/>
  <c r="G486" i="1" s="1"/>
  <c r="N477" i="1"/>
  <c r="N570" i="1"/>
  <c r="M571" i="1" s="1"/>
  <c r="L572" i="1" s="1"/>
  <c r="K573" i="1" s="1"/>
  <c r="J574" i="1" s="1"/>
  <c r="I575" i="1" s="1"/>
  <c r="H576" i="1" s="1"/>
  <c r="F213" i="1"/>
  <c r="E214" i="1" s="1"/>
  <c r="F211" i="1"/>
  <c r="U36" i="5"/>
  <c r="T37" i="5" s="1"/>
  <c r="S38" i="5" s="1"/>
  <c r="U34" i="5"/>
  <c r="E42" i="6"/>
  <c r="D43" i="6" s="1"/>
  <c r="F41" i="7"/>
  <c r="E42" i="7" s="1"/>
  <c r="N568" i="1"/>
  <c r="M569" i="1" s="1"/>
  <c r="L570" i="1" s="1"/>
  <c r="K571" i="1" s="1"/>
  <c r="J572" i="1" s="1"/>
  <c r="I573" i="1" s="1"/>
  <c r="H574" i="1" s="1"/>
  <c r="G575" i="1" s="1"/>
  <c r="U834" i="1"/>
  <c r="T835" i="1" s="1"/>
  <c r="S836" i="1" s="1"/>
  <c r="R837" i="1" s="1"/>
  <c r="Q838" i="1" s="1"/>
  <c r="U832" i="1"/>
  <c r="R705" i="1"/>
  <c r="Q706" i="1" s="1"/>
  <c r="P707" i="1" s="1"/>
  <c r="O708" i="1" s="1"/>
  <c r="N709" i="1" s="1"/>
  <c r="R703" i="1"/>
  <c r="E44" i="7"/>
  <c r="S58" i="4" l="1"/>
  <c r="R59" i="4" s="1"/>
  <c r="Q60" i="4" s="1"/>
  <c r="S56" i="4"/>
  <c r="P762" i="1"/>
  <c r="O763" i="1" s="1"/>
  <c r="P760" i="1"/>
  <c r="D43" i="7"/>
  <c r="E212" i="1"/>
  <c r="D213" i="1" s="1"/>
  <c r="E210" i="1"/>
  <c r="P631" i="1"/>
  <c r="O632" i="1" s="1"/>
  <c r="N633" i="1" s="1"/>
  <c r="P629" i="1"/>
  <c r="L539" i="1"/>
  <c r="L537" i="1"/>
  <c r="C162" i="1"/>
  <c r="C160" i="1"/>
  <c r="H304" i="1"/>
  <c r="H302" i="1"/>
  <c r="S812" i="1"/>
  <c r="R813" i="1" s="1"/>
  <c r="S810" i="1"/>
  <c r="Q704" i="1"/>
  <c r="P705" i="1" s="1"/>
  <c r="O706" i="1" s="1"/>
  <c r="N707" i="1" s="1"/>
  <c r="M708" i="1" s="1"/>
  <c r="C44" i="6"/>
  <c r="B45" i="6" s="1"/>
  <c r="M478" i="1"/>
  <c r="L479" i="1" s="1"/>
  <c r="K480" i="1" s="1"/>
  <c r="J481" i="1" s="1"/>
  <c r="I482" i="1" s="1"/>
  <c r="H483" i="1" s="1"/>
  <c r="G484" i="1" s="1"/>
  <c r="F485" i="1" s="1"/>
  <c r="M476" i="1"/>
  <c r="Q716" i="1"/>
  <c r="P717" i="1" s="1"/>
  <c r="O718" i="1" s="1"/>
  <c r="N719" i="1" s="1"/>
  <c r="M720" i="1" s="1"/>
  <c r="Q714" i="1"/>
  <c r="O624" i="1"/>
  <c r="N625" i="1" s="1"/>
  <c r="Q679" i="1"/>
  <c r="P680" i="1" s="1"/>
  <c r="O681" i="1" s="1"/>
  <c r="N682" i="1" s="1"/>
  <c r="Q677" i="1"/>
  <c r="T45" i="4"/>
  <c r="S46" i="4" s="1"/>
  <c r="R47" i="4" s="1"/>
  <c r="Q48" i="4" s="1"/>
  <c r="P49" i="4" s="1"/>
  <c r="O50" i="4" s="1"/>
  <c r="T43" i="4"/>
  <c r="T55" i="10"/>
  <c r="S56" i="10" s="1"/>
  <c r="R57" i="10" s="1"/>
  <c r="Q58" i="10" s="1"/>
  <c r="P59" i="10" s="1"/>
  <c r="T53" i="10"/>
  <c r="I336" i="1"/>
  <c r="H337" i="1" s="1"/>
  <c r="I334" i="1"/>
  <c r="J582" i="1"/>
  <c r="I581" i="1" s="1"/>
  <c r="R790" i="1"/>
  <c r="R788" i="1"/>
  <c r="P768" i="1"/>
  <c r="P766" i="1"/>
  <c r="O767" i="1" s="1"/>
  <c r="I579" i="1"/>
  <c r="L446" i="1"/>
  <c r="K447" i="1" s="1"/>
  <c r="J448" i="1" s="1"/>
  <c r="I449" i="1" s="1"/>
  <c r="H450" i="1" s="1"/>
  <c r="L444" i="1"/>
  <c r="J375" i="1"/>
  <c r="J373" i="1"/>
  <c r="T39" i="10"/>
  <c r="S40" i="10" s="1"/>
  <c r="R41" i="10" s="1"/>
  <c r="Q42" i="10" s="1"/>
  <c r="P43" i="10" s="1"/>
  <c r="O44" i="10" s="1"/>
  <c r="N45" i="10" s="1"/>
  <c r="T35" i="5"/>
  <c r="S36" i="5" s="1"/>
  <c r="R37" i="5" s="1"/>
  <c r="T33" i="5"/>
  <c r="S60" i="5"/>
  <c r="R61" i="5" s="1"/>
  <c r="S58" i="5"/>
  <c r="T29" i="4"/>
  <c r="S30" i="4" s="1"/>
  <c r="R31" i="4" s="1"/>
  <c r="T27" i="4"/>
  <c r="P668" i="1"/>
  <c r="O669" i="1" s="1"/>
  <c r="N670" i="1" s="1"/>
  <c r="M671" i="1" s="1"/>
  <c r="P666" i="1"/>
  <c r="T833" i="1"/>
  <c r="S834" i="1" s="1"/>
  <c r="R835" i="1" s="1"/>
  <c r="Q836" i="1" s="1"/>
  <c r="P837" i="1" s="1"/>
  <c r="T831" i="1"/>
  <c r="E264" i="1"/>
  <c r="D265" i="1" s="1"/>
  <c r="C266" i="1" s="1"/>
  <c r="B267" i="1" s="1"/>
  <c r="E262" i="1"/>
  <c r="D263" i="1" s="1"/>
  <c r="C264" i="1" s="1"/>
  <c r="B265" i="1" s="1"/>
  <c r="A266" i="1" s="1"/>
  <c r="Q254" i="1" s="1"/>
  <c r="Q255" i="1" s="1"/>
  <c r="E40" i="7"/>
  <c r="D41" i="7" s="1"/>
  <c r="E233" i="1"/>
  <c r="D234" i="1" s="1"/>
  <c r="C235" i="1" s="1"/>
  <c r="B236" i="1" s="1"/>
  <c r="A237" i="1" s="1"/>
  <c r="P226" i="1" s="1"/>
  <c r="P227" i="1" s="1"/>
  <c r="T33" i="10"/>
  <c r="S34" i="10" s="1"/>
  <c r="T31" i="10"/>
  <c r="R729" i="1"/>
  <c r="Q730" i="1" s="1"/>
  <c r="P731" i="1" s="1"/>
  <c r="O732" i="1" s="1"/>
  <c r="N733" i="1" s="1"/>
  <c r="R727" i="1"/>
  <c r="I295" i="1"/>
  <c r="H296" i="1" s="1"/>
  <c r="G297" i="1" s="1"/>
  <c r="F298" i="1" s="1"/>
  <c r="I293" i="1"/>
  <c r="K494" i="1"/>
  <c r="K492" i="1"/>
  <c r="T845" i="1"/>
  <c r="S846" i="1" s="1"/>
  <c r="T843" i="1"/>
  <c r="T51" i="5"/>
  <c r="S52" i="5" s="1"/>
  <c r="R53" i="5" s="1"/>
  <c r="Q54" i="5" s="1"/>
  <c r="T49" i="5"/>
  <c r="K406" i="1"/>
  <c r="J407" i="1" s="1"/>
  <c r="I408" i="1" s="1"/>
  <c r="H409" i="1" s="1"/>
  <c r="G410" i="1" s="1"/>
  <c r="K404" i="1"/>
  <c r="T819" i="1"/>
  <c r="S820" i="1" s="1"/>
  <c r="R821" i="1" s="1"/>
  <c r="Q822" i="1" s="1"/>
  <c r="P823" i="1" s="1"/>
  <c r="O824" i="1" s="1"/>
  <c r="T817" i="1"/>
  <c r="R774" i="1"/>
  <c r="Q775" i="1" s="1"/>
  <c r="P776" i="1" s="1"/>
  <c r="O777" i="1" s="1"/>
  <c r="N778" i="1" s="1"/>
  <c r="M779" i="1" s="1"/>
  <c r="L780" i="1" s="1"/>
  <c r="R772" i="1"/>
  <c r="T43" i="5"/>
  <c r="S44" i="5" s="1"/>
  <c r="R45" i="5" s="1"/>
  <c r="T41" i="5"/>
  <c r="I360" i="1"/>
  <c r="H361" i="1" s="1"/>
  <c r="G362" i="1" s="1"/>
  <c r="F363" i="1" s="1"/>
  <c r="E364" i="1" s="1"/>
  <c r="D365" i="1" s="1"/>
  <c r="I358" i="1"/>
  <c r="H359" i="1" s="1"/>
  <c r="G360" i="1" s="1"/>
  <c r="F361" i="1" s="1"/>
  <c r="E362" i="1" s="1"/>
  <c r="D363" i="1" s="1"/>
  <c r="C364" i="1" s="1"/>
  <c r="S34" i="4"/>
  <c r="R35" i="4" s="1"/>
  <c r="Q36" i="4" s="1"/>
  <c r="P37" i="4" s="1"/>
  <c r="L564" i="1"/>
  <c r="I400" i="1"/>
  <c r="D45" i="7"/>
  <c r="C46" i="7" s="1"/>
  <c r="P621" i="1"/>
  <c r="O622" i="1" s="1"/>
  <c r="N623" i="1" s="1"/>
  <c r="M624" i="1" s="1"/>
  <c r="P619" i="1"/>
  <c r="S36" i="10"/>
  <c r="Q659" i="1"/>
  <c r="P660" i="1" s="1"/>
  <c r="O661" i="1" s="1"/>
  <c r="N662" i="1" s="1"/>
  <c r="Q657" i="1"/>
  <c r="C184" i="1"/>
  <c r="B185" i="1" s="1"/>
  <c r="C182" i="1"/>
  <c r="B183" i="1" s="1"/>
  <c r="A184" i="1" s="1"/>
  <c r="N175" i="1" s="1"/>
  <c r="N176" i="1" s="1"/>
  <c r="L525" i="1"/>
  <c r="K526" i="1" s="1"/>
  <c r="J527" i="1" s="1"/>
  <c r="I528" i="1" s="1"/>
  <c r="H529" i="1" s="1"/>
  <c r="G530" i="1" s="1"/>
  <c r="M567" i="1"/>
  <c r="L568" i="1" s="1"/>
  <c r="K569" i="1" s="1"/>
  <c r="J570" i="1" s="1"/>
  <c r="I571" i="1" s="1"/>
  <c r="H572" i="1" s="1"/>
  <c r="G573" i="1" s="1"/>
  <c r="F574" i="1" s="1"/>
  <c r="L521" i="1"/>
  <c r="K522" i="1" s="1"/>
  <c r="L519" i="1"/>
  <c r="H294" i="1" l="1"/>
  <c r="G295" i="1" s="1"/>
  <c r="F296" i="1" s="1"/>
  <c r="E297" i="1" s="1"/>
  <c r="H292" i="1"/>
  <c r="S32" i="10"/>
  <c r="R33" i="10" s="1"/>
  <c r="Q34" i="10" s="1"/>
  <c r="S30" i="10"/>
  <c r="B161" i="1"/>
  <c r="B159" i="1"/>
  <c r="A160" i="1" s="1"/>
  <c r="M152" i="1" s="1"/>
  <c r="M153" i="1" s="1"/>
  <c r="S50" i="5"/>
  <c r="R51" i="5" s="1"/>
  <c r="Q52" i="5" s="1"/>
  <c r="P53" i="5" s="1"/>
  <c r="S48" i="5"/>
  <c r="J493" i="1"/>
  <c r="J491" i="1"/>
  <c r="R35" i="10"/>
  <c r="I374" i="1"/>
  <c r="I372" i="1"/>
  <c r="S54" i="10"/>
  <c r="R55" i="10" s="1"/>
  <c r="Q56" i="10" s="1"/>
  <c r="P57" i="10" s="1"/>
  <c r="O58" i="10" s="1"/>
  <c r="S52" i="10"/>
  <c r="P678" i="1"/>
  <c r="O679" i="1" s="1"/>
  <c r="N680" i="1" s="1"/>
  <c r="M681" i="1" s="1"/>
  <c r="P676" i="1"/>
  <c r="P715" i="1"/>
  <c r="O716" i="1" s="1"/>
  <c r="N717" i="1" s="1"/>
  <c r="M718" i="1" s="1"/>
  <c r="L719" i="1" s="1"/>
  <c r="P713" i="1"/>
  <c r="C44" i="7"/>
  <c r="B45" i="7" s="1"/>
  <c r="B43" i="6"/>
  <c r="A44" i="6" s="1"/>
  <c r="K520" i="1"/>
  <c r="J521" i="1" s="1"/>
  <c r="K518" i="1"/>
  <c r="J519" i="1" s="1"/>
  <c r="I520" i="1" s="1"/>
  <c r="J523" i="1"/>
  <c r="I524" i="1" s="1"/>
  <c r="H525" i="1" s="1"/>
  <c r="G526" i="1" s="1"/>
  <c r="F527" i="1" s="1"/>
  <c r="E528" i="1" s="1"/>
  <c r="H399" i="1"/>
  <c r="O765" i="1"/>
  <c r="N766" i="1" s="1"/>
  <c r="J405" i="1"/>
  <c r="I406" i="1" s="1"/>
  <c r="H407" i="1" s="1"/>
  <c r="G408" i="1" s="1"/>
  <c r="F409" i="1" s="1"/>
  <c r="J403" i="1"/>
  <c r="S844" i="1"/>
  <c r="R845" i="1" s="1"/>
  <c r="S842" i="1"/>
  <c r="R33" i="4"/>
  <c r="Q34" i="4" s="1"/>
  <c r="P35" i="4" s="1"/>
  <c r="O36" i="4" s="1"/>
  <c r="C42" i="7"/>
  <c r="K524" i="1"/>
  <c r="J525" i="1" s="1"/>
  <c r="I526" i="1" s="1"/>
  <c r="H527" i="1" s="1"/>
  <c r="G528" i="1" s="1"/>
  <c r="F529" i="1" s="1"/>
  <c r="K445" i="1"/>
  <c r="J446" i="1" s="1"/>
  <c r="I447" i="1" s="1"/>
  <c r="H448" i="1" s="1"/>
  <c r="G449" i="1" s="1"/>
  <c r="K443" i="1"/>
  <c r="H580" i="1"/>
  <c r="H578" i="1"/>
  <c r="S44" i="4"/>
  <c r="R45" i="4" s="1"/>
  <c r="Q46" i="4" s="1"/>
  <c r="P47" i="4" s="1"/>
  <c r="O48" i="4" s="1"/>
  <c r="N49" i="4" s="1"/>
  <c r="S42" i="4"/>
  <c r="L477" i="1"/>
  <c r="K478" i="1" s="1"/>
  <c r="J479" i="1" s="1"/>
  <c r="I480" i="1" s="1"/>
  <c r="H481" i="1" s="1"/>
  <c r="G482" i="1" s="1"/>
  <c r="F483" i="1" s="1"/>
  <c r="E484" i="1" s="1"/>
  <c r="L475" i="1"/>
  <c r="R811" i="1"/>
  <c r="Q812" i="1" s="1"/>
  <c r="D211" i="1"/>
  <c r="C212" i="1" s="1"/>
  <c r="D209" i="1"/>
  <c r="O761" i="1"/>
  <c r="N762" i="1" s="1"/>
  <c r="O759" i="1"/>
  <c r="R57" i="4"/>
  <c r="Q58" i="4" s="1"/>
  <c r="P59" i="4" s="1"/>
  <c r="R55" i="4"/>
  <c r="Q773" i="1"/>
  <c r="P774" i="1" s="1"/>
  <c r="O775" i="1" s="1"/>
  <c r="N776" i="1" s="1"/>
  <c r="M777" i="1" s="1"/>
  <c r="L778" i="1" s="1"/>
  <c r="K779" i="1" s="1"/>
  <c r="Q771" i="1"/>
  <c r="S28" i="4"/>
  <c r="R29" i="4" s="1"/>
  <c r="Q30" i="4" s="1"/>
  <c r="S26" i="4"/>
  <c r="O630" i="1"/>
  <c r="N631" i="1" s="1"/>
  <c r="M632" i="1" s="1"/>
  <c r="O628" i="1"/>
  <c r="K563" i="1"/>
  <c r="S818" i="1"/>
  <c r="R819" i="1" s="1"/>
  <c r="Q820" i="1" s="1"/>
  <c r="P821" i="1" s="1"/>
  <c r="O822" i="1" s="1"/>
  <c r="N823" i="1" s="1"/>
  <c r="S816" i="1"/>
  <c r="O667" i="1"/>
  <c r="N668" i="1" s="1"/>
  <c r="M669" i="1" s="1"/>
  <c r="L670" i="1" s="1"/>
  <c r="O665" i="1"/>
  <c r="S34" i="5"/>
  <c r="R35" i="5" s="1"/>
  <c r="Q36" i="5" s="1"/>
  <c r="S32" i="5"/>
  <c r="S38" i="10"/>
  <c r="R39" i="10" s="1"/>
  <c r="Q40" i="10" s="1"/>
  <c r="P41" i="10" s="1"/>
  <c r="O42" i="10" s="1"/>
  <c r="N43" i="10" s="1"/>
  <c r="M44" i="10" s="1"/>
  <c r="P658" i="1"/>
  <c r="O659" i="1" s="1"/>
  <c r="N660" i="1" s="1"/>
  <c r="M661" i="1" s="1"/>
  <c r="P656" i="1"/>
  <c r="O620" i="1"/>
  <c r="N621" i="1" s="1"/>
  <c r="M622" i="1" s="1"/>
  <c r="L623" i="1" s="1"/>
  <c r="O618" i="1"/>
  <c r="L566" i="1"/>
  <c r="K567" i="1" s="1"/>
  <c r="J568" i="1" s="1"/>
  <c r="I569" i="1" s="1"/>
  <c r="H570" i="1" s="1"/>
  <c r="G571" i="1" s="1"/>
  <c r="F572" i="1" s="1"/>
  <c r="E573" i="1" s="1"/>
  <c r="S42" i="5"/>
  <c r="R43" i="5" s="1"/>
  <c r="Q44" i="5" s="1"/>
  <c r="S40" i="5"/>
  <c r="Q728" i="1"/>
  <c r="P729" i="1" s="1"/>
  <c r="O730" i="1" s="1"/>
  <c r="N731" i="1" s="1"/>
  <c r="M732" i="1" s="1"/>
  <c r="Q726" i="1"/>
  <c r="S832" i="1"/>
  <c r="R833" i="1" s="1"/>
  <c r="Q834" i="1" s="1"/>
  <c r="P835" i="1" s="1"/>
  <c r="O836" i="1" s="1"/>
  <c r="S830" i="1"/>
  <c r="R59" i="5"/>
  <c r="Q60" i="5" s="1"/>
  <c r="R57" i="5"/>
  <c r="Q789" i="1"/>
  <c r="Q787" i="1"/>
  <c r="H335" i="1"/>
  <c r="G336" i="1" s="1"/>
  <c r="H333" i="1"/>
  <c r="G303" i="1"/>
  <c r="G301" i="1"/>
  <c r="K538" i="1"/>
  <c r="K536" i="1"/>
  <c r="J537" i="1" l="1"/>
  <c r="J535" i="1"/>
  <c r="P727" i="1"/>
  <c r="O728" i="1" s="1"/>
  <c r="N729" i="1" s="1"/>
  <c r="M730" i="1" s="1"/>
  <c r="L731" i="1" s="1"/>
  <c r="P725" i="1"/>
  <c r="R33" i="5"/>
  <c r="Q34" i="5" s="1"/>
  <c r="P35" i="5" s="1"/>
  <c r="R31" i="5"/>
  <c r="P31" i="4"/>
  <c r="O32" i="4" s="1"/>
  <c r="N33" i="4" s="1"/>
  <c r="M34" i="4" s="1"/>
  <c r="K476" i="1"/>
  <c r="J477" i="1" s="1"/>
  <c r="I478" i="1" s="1"/>
  <c r="H479" i="1" s="1"/>
  <c r="G480" i="1" s="1"/>
  <c r="F481" i="1" s="1"/>
  <c r="E482" i="1" s="1"/>
  <c r="D483" i="1" s="1"/>
  <c r="K474" i="1"/>
  <c r="J475" i="1" s="1"/>
  <c r="I476" i="1" s="1"/>
  <c r="H477" i="1" s="1"/>
  <c r="G478" i="1" s="1"/>
  <c r="F479" i="1" s="1"/>
  <c r="E480" i="1" s="1"/>
  <c r="D481" i="1" s="1"/>
  <c r="C482" i="1" s="1"/>
  <c r="G398" i="1"/>
  <c r="O677" i="1"/>
  <c r="N678" i="1" s="1"/>
  <c r="M679" i="1" s="1"/>
  <c r="L680" i="1" s="1"/>
  <c r="O675" i="1"/>
  <c r="H373" i="1"/>
  <c r="H371" i="1"/>
  <c r="I492" i="1"/>
  <c r="I490" i="1"/>
  <c r="R817" i="1"/>
  <c r="Q818" i="1" s="1"/>
  <c r="P819" i="1" s="1"/>
  <c r="O820" i="1" s="1"/>
  <c r="N821" i="1" s="1"/>
  <c r="M822" i="1" s="1"/>
  <c r="R815" i="1"/>
  <c r="K565" i="1"/>
  <c r="J566" i="1" s="1"/>
  <c r="I567" i="1" s="1"/>
  <c r="H568" i="1" s="1"/>
  <c r="G569" i="1" s="1"/>
  <c r="F570" i="1" s="1"/>
  <c r="E571" i="1" s="1"/>
  <c r="D572" i="1" s="1"/>
  <c r="P772" i="1"/>
  <c r="O773" i="1" s="1"/>
  <c r="N774" i="1" s="1"/>
  <c r="M775" i="1" s="1"/>
  <c r="L776" i="1" s="1"/>
  <c r="K777" i="1" s="1"/>
  <c r="J778" i="1" s="1"/>
  <c r="P770" i="1"/>
  <c r="Q56" i="4"/>
  <c r="P57" i="4" s="1"/>
  <c r="O58" i="4" s="1"/>
  <c r="Q54" i="4"/>
  <c r="C210" i="1"/>
  <c r="B211" i="1" s="1"/>
  <c r="C208" i="1"/>
  <c r="B209" i="1" s="1"/>
  <c r="A210" i="1" s="1"/>
  <c r="O200" i="1" s="1"/>
  <c r="O201" i="1" s="1"/>
  <c r="G579" i="1"/>
  <c r="G577" i="1"/>
  <c r="R843" i="1"/>
  <c r="Q844" i="1" s="1"/>
  <c r="R841" i="1"/>
  <c r="N764" i="1"/>
  <c r="M765" i="1" s="1"/>
  <c r="G293" i="1"/>
  <c r="F294" i="1" s="1"/>
  <c r="E295" i="1" s="1"/>
  <c r="D296" i="1" s="1"/>
  <c r="G291" i="1"/>
  <c r="P788" i="1"/>
  <c r="P786" i="1"/>
  <c r="O657" i="1"/>
  <c r="N658" i="1" s="1"/>
  <c r="M659" i="1" s="1"/>
  <c r="L660" i="1" s="1"/>
  <c r="O655" i="1"/>
  <c r="N656" i="1" s="1"/>
  <c r="M657" i="1" s="1"/>
  <c r="L658" i="1" s="1"/>
  <c r="K659" i="1" s="1"/>
  <c r="J564" i="1"/>
  <c r="I565" i="1" s="1"/>
  <c r="H566" i="1" s="1"/>
  <c r="G567" i="1" s="1"/>
  <c r="F568" i="1" s="1"/>
  <c r="E569" i="1" s="1"/>
  <c r="D570" i="1" s="1"/>
  <c r="C571" i="1" s="1"/>
  <c r="F302" i="1"/>
  <c r="F300" i="1"/>
  <c r="G334" i="1"/>
  <c r="F335" i="1" s="1"/>
  <c r="G332" i="1"/>
  <c r="R831" i="1"/>
  <c r="Q832" i="1" s="1"/>
  <c r="P833" i="1" s="1"/>
  <c r="O834" i="1" s="1"/>
  <c r="N835" i="1" s="1"/>
  <c r="R829" i="1"/>
  <c r="N619" i="1"/>
  <c r="M620" i="1" s="1"/>
  <c r="L621" i="1" s="1"/>
  <c r="K622" i="1" s="1"/>
  <c r="N617" i="1"/>
  <c r="N666" i="1"/>
  <c r="M667" i="1" s="1"/>
  <c r="L668" i="1" s="1"/>
  <c r="K669" i="1" s="1"/>
  <c r="N664" i="1"/>
  <c r="R37" i="10"/>
  <c r="Q38" i="10" s="1"/>
  <c r="P39" i="10" s="1"/>
  <c r="O40" i="10" s="1"/>
  <c r="N41" i="10" s="1"/>
  <c r="M42" i="10" s="1"/>
  <c r="L43" i="10" s="1"/>
  <c r="O714" i="1"/>
  <c r="N715" i="1" s="1"/>
  <c r="M716" i="1" s="1"/>
  <c r="L717" i="1" s="1"/>
  <c r="K718" i="1" s="1"/>
  <c r="O712" i="1"/>
  <c r="R53" i="10"/>
  <c r="Q54" i="10" s="1"/>
  <c r="P55" i="10" s="1"/>
  <c r="O56" i="10" s="1"/>
  <c r="N57" i="10" s="1"/>
  <c r="R51" i="10"/>
  <c r="Q32" i="4"/>
  <c r="P33" i="4" s="1"/>
  <c r="O34" i="4" s="1"/>
  <c r="N35" i="4" s="1"/>
  <c r="R49" i="5"/>
  <c r="Q50" i="5" s="1"/>
  <c r="P51" i="5" s="1"/>
  <c r="O52" i="5" s="1"/>
  <c r="R47" i="5"/>
  <c r="Q58" i="5"/>
  <c r="P59" i="5" s="1"/>
  <c r="Q56" i="5"/>
  <c r="R41" i="5"/>
  <c r="Q42" i="5" s="1"/>
  <c r="P43" i="5" s="1"/>
  <c r="R39" i="5"/>
  <c r="N629" i="1"/>
  <c r="M630" i="1" s="1"/>
  <c r="L631" i="1" s="1"/>
  <c r="N627" i="1"/>
  <c r="R27" i="4"/>
  <c r="Q28" i="4" s="1"/>
  <c r="P29" i="4" s="1"/>
  <c r="O30" i="4" s="1"/>
  <c r="N31" i="4" s="1"/>
  <c r="M32" i="4" s="1"/>
  <c r="L33" i="4" s="1"/>
  <c r="N760" i="1"/>
  <c r="M761" i="1" s="1"/>
  <c r="R43" i="4"/>
  <c r="Q44" i="4" s="1"/>
  <c r="P45" i="4" s="1"/>
  <c r="O46" i="4" s="1"/>
  <c r="N47" i="4" s="1"/>
  <c r="M48" i="4" s="1"/>
  <c r="R41" i="4"/>
  <c r="J444" i="1"/>
  <c r="I445" i="1" s="1"/>
  <c r="H446" i="1" s="1"/>
  <c r="G447" i="1" s="1"/>
  <c r="F448" i="1" s="1"/>
  <c r="J442" i="1"/>
  <c r="B43" i="7"/>
  <c r="A44" i="7" s="1"/>
  <c r="I404" i="1"/>
  <c r="H405" i="1" s="1"/>
  <c r="G406" i="1" s="1"/>
  <c r="F407" i="1" s="1"/>
  <c r="E408" i="1" s="1"/>
  <c r="I402" i="1"/>
  <c r="I522" i="1"/>
  <c r="H523" i="1" s="1"/>
  <c r="G524" i="1" s="1"/>
  <c r="F525" i="1" s="1"/>
  <c r="E526" i="1" s="1"/>
  <c r="D527" i="1" s="1"/>
  <c r="Q36" i="10"/>
  <c r="P37" i="10" s="1"/>
  <c r="O38" i="10" s="1"/>
  <c r="N39" i="10" s="1"/>
  <c r="M40" i="10" s="1"/>
  <c r="L41" i="10" s="1"/>
  <c r="K42" i="10" s="1"/>
  <c r="R31" i="10"/>
  <c r="Q32" i="10" s="1"/>
  <c r="P33" i="10" s="1"/>
  <c r="R29" i="10"/>
  <c r="Q42" i="4" l="1"/>
  <c r="P43" i="4" s="1"/>
  <c r="O44" i="4" s="1"/>
  <c r="N45" i="4" s="1"/>
  <c r="M46" i="4" s="1"/>
  <c r="L47" i="4" s="1"/>
  <c r="Q40" i="4"/>
  <c r="P57" i="5"/>
  <c r="O58" i="5" s="1"/>
  <c r="P55" i="5"/>
  <c r="Q816" i="1"/>
  <c r="P817" i="1" s="1"/>
  <c r="O818" i="1" s="1"/>
  <c r="N819" i="1" s="1"/>
  <c r="M820" i="1" s="1"/>
  <c r="L821" i="1" s="1"/>
  <c r="Q814" i="1"/>
  <c r="G372" i="1"/>
  <c r="G370" i="1"/>
  <c r="Q30" i="10"/>
  <c r="P31" i="10" s="1"/>
  <c r="O32" i="10" s="1"/>
  <c r="Q28" i="10"/>
  <c r="O771" i="1"/>
  <c r="N772" i="1" s="1"/>
  <c r="M773" i="1" s="1"/>
  <c r="L774" i="1" s="1"/>
  <c r="K775" i="1" s="1"/>
  <c r="J776" i="1" s="1"/>
  <c r="I777" i="1" s="1"/>
  <c r="O769" i="1"/>
  <c r="I536" i="1"/>
  <c r="I534" i="1"/>
  <c r="H403" i="1"/>
  <c r="G404" i="1" s="1"/>
  <c r="F405" i="1" s="1"/>
  <c r="E406" i="1" s="1"/>
  <c r="D407" i="1" s="1"/>
  <c r="H401" i="1"/>
  <c r="L762" i="1"/>
  <c r="K763" i="1" s="1"/>
  <c r="Q48" i="5"/>
  <c r="P49" i="5" s="1"/>
  <c r="O50" i="5" s="1"/>
  <c r="N51" i="5" s="1"/>
  <c r="Q46" i="5"/>
  <c r="Q830" i="1"/>
  <c r="P831" i="1" s="1"/>
  <c r="O832" i="1" s="1"/>
  <c r="N833" i="1" s="1"/>
  <c r="M834" i="1" s="1"/>
  <c r="Q828" i="1"/>
  <c r="E301" i="1"/>
  <c r="E299" i="1"/>
  <c r="F292" i="1"/>
  <c r="E293" i="1" s="1"/>
  <c r="D294" i="1" s="1"/>
  <c r="C295" i="1" s="1"/>
  <c r="Q842" i="1"/>
  <c r="P843" i="1" s="1"/>
  <c r="Q840" i="1"/>
  <c r="P55" i="4"/>
  <c r="O56" i="4" s="1"/>
  <c r="N57" i="4" s="1"/>
  <c r="P53" i="4"/>
  <c r="M763" i="1"/>
  <c r="L764" i="1" s="1"/>
  <c r="O726" i="1"/>
  <c r="N727" i="1" s="1"/>
  <c r="M728" i="1" s="1"/>
  <c r="L729" i="1" s="1"/>
  <c r="K730" i="1" s="1"/>
  <c r="O724" i="1"/>
  <c r="N713" i="1"/>
  <c r="M714" i="1" s="1"/>
  <c r="L715" i="1" s="1"/>
  <c r="K716" i="1" s="1"/>
  <c r="J717" i="1" s="1"/>
  <c r="N711" i="1"/>
  <c r="M628" i="1"/>
  <c r="L629" i="1" s="1"/>
  <c r="K630" i="1" s="1"/>
  <c r="M626" i="1"/>
  <c r="Q40" i="5"/>
  <c r="P41" i="5" s="1"/>
  <c r="O42" i="5" s="1"/>
  <c r="Q38" i="5"/>
  <c r="M618" i="1"/>
  <c r="L619" i="1" s="1"/>
  <c r="K620" i="1" s="1"/>
  <c r="J621" i="1" s="1"/>
  <c r="M616" i="1"/>
  <c r="F333" i="1"/>
  <c r="E334" i="1" s="1"/>
  <c r="F331" i="1"/>
  <c r="O787" i="1"/>
  <c r="O785" i="1"/>
  <c r="P35" i="10"/>
  <c r="O36" i="10" s="1"/>
  <c r="N37" i="10" s="1"/>
  <c r="M38" i="10" s="1"/>
  <c r="L39" i="10" s="1"/>
  <c r="K40" i="10" s="1"/>
  <c r="J41" i="10" s="1"/>
  <c r="Q32" i="5"/>
  <c r="P33" i="5" s="1"/>
  <c r="O34" i="5" s="1"/>
  <c r="Q30" i="5"/>
  <c r="O34" i="10"/>
  <c r="N35" i="10" s="1"/>
  <c r="M36" i="10" s="1"/>
  <c r="L37" i="10" s="1"/>
  <c r="K38" i="10" s="1"/>
  <c r="J39" i="10" s="1"/>
  <c r="I40" i="10" s="1"/>
  <c r="I443" i="1"/>
  <c r="H444" i="1" s="1"/>
  <c r="G445" i="1" s="1"/>
  <c r="F446" i="1" s="1"/>
  <c r="E447" i="1" s="1"/>
  <c r="I441" i="1"/>
  <c r="Q52" i="10"/>
  <c r="P53" i="10" s="1"/>
  <c r="O54" i="10" s="1"/>
  <c r="N55" i="10" s="1"/>
  <c r="M56" i="10" s="1"/>
  <c r="Q50" i="10"/>
  <c r="H521" i="1"/>
  <c r="G522" i="1" s="1"/>
  <c r="F523" i="1" s="1"/>
  <c r="E524" i="1" s="1"/>
  <c r="D525" i="1" s="1"/>
  <c r="C526" i="1" s="1"/>
  <c r="M665" i="1"/>
  <c r="L666" i="1" s="1"/>
  <c r="K667" i="1" s="1"/>
  <c r="J668" i="1" s="1"/>
  <c r="M663" i="1"/>
  <c r="F578" i="1"/>
  <c r="F576" i="1"/>
  <c r="H491" i="1"/>
  <c r="H489" i="1"/>
  <c r="N676" i="1"/>
  <c r="M677" i="1" s="1"/>
  <c r="L678" i="1" s="1"/>
  <c r="K679" i="1" s="1"/>
  <c r="N674" i="1"/>
  <c r="E577" i="1" l="1"/>
  <c r="E575" i="1"/>
  <c r="L664" i="1"/>
  <c r="K665" i="1" s="1"/>
  <c r="J666" i="1" s="1"/>
  <c r="I667" i="1" s="1"/>
  <c r="L662" i="1"/>
  <c r="L627" i="1"/>
  <c r="K628" i="1" s="1"/>
  <c r="J629" i="1" s="1"/>
  <c r="L625" i="1"/>
  <c r="P47" i="5"/>
  <c r="O48" i="5" s="1"/>
  <c r="N49" i="5" s="1"/>
  <c r="M50" i="5" s="1"/>
  <c r="P45" i="5"/>
  <c r="H442" i="1"/>
  <c r="G443" i="1" s="1"/>
  <c r="F444" i="1" s="1"/>
  <c r="E445" i="1" s="1"/>
  <c r="D446" i="1" s="1"/>
  <c r="H440" i="1"/>
  <c r="P39" i="5"/>
  <c r="O40" i="5" s="1"/>
  <c r="N41" i="5" s="1"/>
  <c r="P37" i="5"/>
  <c r="H535" i="1"/>
  <c r="H533" i="1"/>
  <c r="N33" i="10"/>
  <c r="M34" i="10" s="1"/>
  <c r="L35" i="10" s="1"/>
  <c r="K36" i="10" s="1"/>
  <c r="J37" i="10" s="1"/>
  <c r="I38" i="10" s="1"/>
  <c r="H39" i="10" s="1"/>
  <c r="M675" i="1"/>
  <c r="L676" i="1" s="1"/>
  <c r="K677" i="1" s="1"/>
  <c r="J678" i="1" s="1"/>
  <c r="M673" i="1"/>
  <c r="P51" i="10"/>
  <c r="O52" i="10" s="1"/>
  <c r="N53" i="10" s="1"/>
  <c r="M54" i="10" s="1"/>
  <c r="L55" i="10" s="1"/>
  <c r="P49" i="10"/>
  <c r="N786" i="1"/>
  <c r="N784" i="1"/>
  <c r="L617" i="1"/>
  <c r="K618" i="1" s="1"/>
  <c r="J619" i="1" s="1"/>
  <c r="I620" i="1" s="1"/>
  <c r="L615" i="1"/>
  <c r="P841" i="1"/>
  <c r="O842" i="1" s="1"/>
  <c r="P839" i="1"/>
  <c r="D300" i="1"/>
  <c r="D298" i="1"/>
  <c r="G402" i="1"/>
  <c r="F403" i="1" s="1"/>
  <c r="E404" i="1" s="1"/>
  <c r="D405" i="1" s="1"/>
  <c r="C406" i="1" s="1"/>
  <c r="G400" i="1"/>
  <c r="F371" i="1"/>
  <c r="F369" i="1"/>
  <c r="P41" i="4"/>
  <c r="O42" i="4" s="1"/>
  <c r="N43" i="4" s="1"/>
  <c r="M44" i="4" s="1"/>
  <c r="L45" i="4" s="1"/>
  <c r="K46" i="4" s="1"/>
  <c r="P39" i="4"/>
  <c r="G490" i="1"/>
  <c r="G488" i="1"/>
  <c r="P31" i="5"/>
  <c r="O32" i="5" s="1"/>
  <c r="N33" i="5" s="1"/>
  <c r="P29" i="5"/>
  <c r="E332" i="1"/>
  <c r="D333" i="1" s="1"/>
  <c r="E330" i="1"/>
  <c r="M712" i="1"/>
  <c r="L713" i="1" s="1"/>
  <c r="K714" i="1" s="1"/>
  <c r="J715" i="1" s="1"/>
  <c r="I716" i="1" s="1"/>
  <c r="M710" i="1"/>
  <c r="N725" i="1"/>
  <c r="M726" i="1" s="1"/>
  <c r="L727" i="1" s="1"/>
  <c r="K728" i="1" s="1"/>
  <c r="J729" i="1" s="1"/>
  <c r="N723" i="1"/>
  <c r="O54" i="4"/>
  <c r="N55" i="4" s="1"/>
  <c r="M56" i="4" s="1"/>
  <c r="O52" i="4"/>
  <c r="P829" i="1"/>
  <c r="O830" i="1" s="1"/>
  <c r="N831" i="1" s="1"/>
  <c r="M832" i="1" s="1"/>
  <c r="L833" i="1" s="1"/>
  <c r="P827" i="1"/>
  <c r="N770" i="1"/>
  <c r="M771" i="1" s="1"/>
  <c r="L772" i="1" s="1"/>
  <c r="K773" i="1" s="1"/>
  <c r="J774" i="1" s="1"/>
  <c r="I775" i="1" s="1"/>
  <c r="H776" i="1" s="1"/>
  <c r="N768" i="1"/>
  <c r="P29" i="10"/>
  <c r="O30" i="10" s="1"/>
  <c r="N31" i="10" s="1"/>
  <c r="M32" i="10" s="1"/>
  <c r="L33" i="10" s="1"/>
  <c r="K34" i="10" s="1"/>
  <c r="J35" i="10" s="1"/>
  <c r="I36" i="10" s="1"/>
  <c r="H37" i="10" s="1"/>
  <c r="G38" i="10" s="1"/>
  <c r="P815" i="1"/>
  <c r="O816" i="1" s="1"/>
  <c r="N817" i="1" s="1"/>
  <c r="M818" i="1" s="1"/>
  <c r="L819" i="1" s="1"/>
  <c r="K820" i="1" s="1"/>
  <c r="P813" i="1"/>
  <c r="O814" i="1" s="1"/>
  <c r="N815" i="1" s="1"/>
  <c r="M816" i="1" s="1"/>
  <c r="L817" i="1" s="1"/>
  <c r="K818" i="1" s="1"/>
  <c r="J819" i="1" s="1"/>
  <c r="O56" i="5"/>
  <c r="N57" i="5" s="1"/>
  <c r="O54" i="5"/>
  <c r="K663" i="1" l="1"/>
  <c r="J664" i="1" s="1"/>
  <c r="I665" i="1" s="1"/>
  <c r="H666" i="1" s="1"/>
  <c r="K661" i="1"/>
  <c r="N53" i="4"/>
  <c r="M54" i="4" s="1"/>
  <c r="L55" i="4" s="1"/>
  <c r="N51" i="4"/>
  <c r="L711" i="1"/>
  <c r="K712" i="1" s="1"/>
  <c r="J713" i="1" s="1"/>
  <c r="I714" i="1" s="1"/>
  <c r="H715" i="1" s="1"/>
  <c r="L709" i="1"/>
  <c r="K710" i="1" s="1"/>
  <c r="J711" i="1" s="1"/>
  <c r="I712" i="1" s="1"/>
  <c r="H713" i="1" s="1"/>
  <c r="G714" i="1" s="1"/>
  <c r="O30" i="5"/>
  <c r="N31" i="5" s="1"/>
  <c r="M32" i="5" s="1"/>
  <c r="E370" i="1"/>
  <c r="E368" i="1"/>
  <c r="C299" i="1"/>
  <c r="C297" i="1"/>
  <c r="M785" i="1"/>
  <c r="M783" i="1"/>
  <c r="L674" i="1"/>
  <c r="K675" i="1" s="1"/>
  <c r="J676" i="1" s="1"/>
  <c r="I677" i="1" s="1"/>
  <c r="L672" i="1"/>
  <c r="O46" i="5"/>
  <c r="N47" i="5" s="1"/>
  <c r="M48" i="5" s="1"/>
  <c r="L49" i="5" s="1"/>
  <c r="O44" i="5"/>
  <c r="F489" i="1"/>
  <c r="F487" i="1"/>
  <c r="N55" i="5"/>
  <c r="M56" i="5" s="1"/>
  <c r="N53" i="5"/>
  <c r="O828" i="1"/>
  <c r="N829" i="1" s="1"/>
  <c r="M830" i="1" s="1"/>
  <c r="L831" i="1" s="1"/>
  <c r="K832" i="1" s="1"/>
  <c r="O826" i="1"/>
  <c r="G534" i="1"/>
  <c r="G532" i="1"/>
  <c r="G441" i="1"/>
  <c r="F442" i="1" s="1"/>
  <c r="E443" i="1" s="1"/>
  <c r="D444" i="1" s="1"/>
  <c r="C445" i="1" s="1"/>
  <c r="G439" i="1"/>
  <c r="D576" i="1"/>
  <c r="D574" i="1"/>
  <c r="M769" i="1"/>
  <c r="L770" i="1" s="1"/>
  <c r="K771" i="1" s="1"/>
  <c r="J772" i="1" s="1"/>
  <c r="I773" i="1" s="1"/>
  <c r="H774" i="1" s="1"/>
  <c r="G775" i="1" s="1"/>
  <c r="M767" i="1"/>
  <c r="M724" i="1"/>
  <c r="L725" i="1" s="1"/>
  <c r="K726" i="1" s="1"/>
  <c r="J727" i="1" s="1"/>
  <c r="I728" i="1" s="1"/>
  <c r="M722" i="1"/>
  <c r="D331" i="1"/>
  <c r="C332" i="1" s="1"/>
  <c r="D329" i="1"/>
  <c r="O40" i="4"/>
  <c r="N41" i="4" s="1"/>
  <c r="M42" i="4" s="1"/>
  <c r="L43" i="4" s="1"/>
  <c r="K44" i="4" s="1"/>
  <c r="J45" i="4" s="1"/>
  <c r="O38" i="4"/>
  <c r="F401" i="1"/>
  <c r="E402" i="1" s="1"/>
  <c r="D403" i="1" s="1"/>
  <c r="C404" i="1" s="1"/>
  <c r="B405" i="1" s="1"/>
  <c r="F399" i="1"/>
  <c r="E400" i="1" s="1"/>
  <c r="D401" i="1" s="1"/>
  <c r="C402" i="1" s="1"/>
  <c r="B403" i="1" s="1"/>
  <c r="A404" i="1" s="1"/>
  <c r="U388" i="1" s="1"/>
  <c r="U389" i="1" s="1"/>
  <c r="O840" i="1"/>
  <c r="N841" i="1" s="1"/>
  <c r="O838" i="1"/>
  <c r="K616" i="1"/>
  <c r="J617" i="1" s="1"/>
  <c r="I618" i="1" s="1"/>
  <c r="H619" i="1" s="1"/>
  <c r="K614" i="1"/>
  <c r="O50" i="10"/>
  <c r="N51" i="10" s="1"/>
  <c r="M52" i="10" s="1"/>
  <c r="L53" i="10" s="1"/>
  <c r="K54" i="10" s="1"/>
  <c r="O48" i="10"/>
  <c r="O38" i="5"/>
  <c r="N39" i="5" s="1"/>
  <c r="M40" i="5" s="1"/>
  <c r="O36" i="5"/>
  <c r="K626" i="1"/>
  <c r="J627" i="1" s="1"/>
  <c r="I628" i="1" s="1"/>
  <c r="K624" i="1"/>
  <c r="N49" i="10" l="1"/>
  <c r="M50" i="10" s="1"/>
  <c r="L51" i="10" s="1"/>
  <c r="K52" i="10" s="1"/>
  <c r="J53" i="10" s="1"/>
  <c r="N47" i="10"/>
  <c r="N39" i="4"/>
  <c r="M40" i="4" s="1"/>
  <c r="L41" i="4" s="1"/>
  <c r="K42" i="4" s="1"/>
  <c r="J43" i="4" s="1"/>
  <c r="I44" i="4" s="1"/>
  <c r="N37" i="4"/>
  <c r="L723" i="1"/>
  <c r="K724" i="1" s="1"/>
  <c r="J725" i="1" s="1"/>
  <c r="I726" i="1" s="1"/>
  <c r="H727" i="1" s="1"/>
  <c r="L721" i="1"/>
  <c r="N37" i="5"/>
  <c r="M38" i="5" s="1"/>
  <c r="L39" i="5" s="1"/>
  <c r="N35" i="5"/>
  <c r="J615" i="1"/>
  <c r="I616" i="1" s="1"/>
  <c r="H617" i="1" s="1"/>
  <c r="G618" i="1" s="1"/>
  <c r="J613" i="1"/>
  <c r="C330" i="1"/>
  <c r="B331" i="1" s="1"/>
  <c r="C328" i="1"/>
  <c r="B329" i="1" s="1"/>
  <c r="A330" i="1" s="1"/>
  <c r="S316" i="1" s="1"/>
  <c r="S317" i="1" s="1"/>
  <c r="F533" i="1"/>
  <c r="F531" i="1"/>
  <c r="N827" i="1"/>
  <c r="M828" i="1" s="1"/>
  <c r="L829" i="1" s="1"/>
  <c r="K830" i="1" s="1"/>
  <c r="J831" i="1" s="1"/>
  <c r="N825" i="1"/>
  <c r="L768" i="1"/>
  <c r="K769" i="1" s="1"/>
  <c r="J770" i="1" s="1"/>
  <c r="I771" i="1" s="1"/>
  <c r="H772" i="1" s="1"/>
  <c r="G773" i="1" s="1"/>
  <c r="F774" i="1" s="1"/>
  <c r="L766" i="1"/>
  <c r="E488" i="1"/>
  <c r="E486" i="1"/>
  <c r="N45" i="5"/>
  <c r="M46" i="5" s="1"/>
  <c r="L47" i="5" s="1"/>
  <c r="K48" i="5" s="1"/>
  <c r="N43" i="5"/>
  <c r="L784" i="1"/>
  <c r="L782" i="1"/>
  <c r="D369" i="1"/>
  <c r="D367" i="1"/>
  <c r="J662" i="1"/>
  <c r="I663" i="1" s="1"/>
  <c r="H664" i="1" s="1"/>
  <c r="G665" i="1" s="1"/>
  <c r="J660" i="1"/>
  <c r="J625" i="1"/>
  <c r="I626" i="1" s="1"/>
  <c r="H627" i="1" s="1"/>
  <c r="J623" i="1"/>
  <c r="N839" i="1"/>
  <c r="M840" i="1" s="1"/>
  <c r="N837" i="1"/>
  <c r="F440" i="1"/>
  <c r="E441" i="1" s="1"/>
  <c r="D442" i="1" s="1"/>
  <c r="C443" i="1" s="1"/>
  <c r="B444" i="1" s="1"/>
  <c r="F438" i="1"/>
  <c r="E439" i="1" s="1"/>
  <c r="D440" i="1" s="1"/>
  <c r="C441" i="1" s="1"/>
  <c r="B442" i="1" s="1"/>
  <c r="A443" i="1" s="1"/>
  <c r="V426" i="1" s="1"/>
  <c r="V427" i="1" s="1"/>
  <c r="M52" i="4"/>
  <c r="L53" i="4" s="1"/>
  <c r="K54" i="4" s="1"/>
  <c r="M50" i="4"/>
  <c r="C575" i="1"/>
  <c r="C573" i="1"/>
  <c r="M54" i="5"/>
  <c r="L55" i="5" s="1"/>
  <c r="M52" i="5"/>
  <c r="K673" i="1"/>
  <c r="J674" i="1" s="1"/>
  <c r="I675" i="1" s="1"/>
  <c r="H676" i="1" s="1"/>
  <c r="K671" i="1"/>
  <c r="B298" i="1"/>
  <c r="B296" i="1"/>
  <c r="K783" i="1" l="1"/>
  <c r="K781" i="1"/>
  <c r="D487" i="1"/>
  <c r="D485" i="1"/>
  <c r="M826" i="1"/>
  <c r="L827" i="1" s="1"/>
  <c r="K828" i="1" s="1"/>
  <c r="J829" i="1" s="1"/>
  <c r="I830" i="1" s="1"/>
  <c r="M824" i="1"/>
  <c r="M36" i="5"/>
  <c r="L37" i="5" s="1"/>
  <c r="K38" i="5" s="1"/>
  <c r="M34" i="5"/>
  <c r="M38" i="4"/>
  <c r="L39" i="4" s="1"/>
  <c r="K40" i="4" s="1"/>
  <c r="J41" i="4" s="1"/>
  <c r="I42" i="4" s="1"/>
  <c r="H43" i="4" s="1"/>
  <c r="M36" i="4"/>
  <c r="J672" i="1"/>
  <c r="I673" i="1" s="1"/>
  <c r="H674" i="1" s="1"/>
  <c r="G675" i="1" s="1"/>
  <c r="J670" i="1"/>
  <c r="B574" i="1"/>
  <c r="B572" i="1"/>
  <c r="L51" i="4"/>
  <c r="K52" i="4" s="1"/>
  <c r="J53" i="4" s="1"/>
  <c r="L49" i="4"/>
  <c r="I624" i="1"/>
  <c r="H625" i="1" s="1"/>
  <c r="G626" i="1" s="1"/>
  <c r="I622" i="1"/>
  <c r="C368" i="1"/>
  <c r="C366" i="1"/>
  <c r="M44" i="5"/>
  <c r="L45" i="5" s="1"/>
  <c r="K46" i="5" s="1"/>
  <c r="J47" i="5" s="1"/>
  <c r="M42" i="5"/>
  <c r="E532" i="1"/>
  <c r="E530" i="1"/>
  <c r="I614" i="1"/>
  <c r="H615" i="1" s="1"/>
  <c r="G616" i="1" s="1"/>
  <c r="F617" i="1" s="1"/>
  <c r="I612" i="1"/>
  <c r="H613" i="1" s="1"/>
  <c r="G614" i="1" s="1"/>
  <c r="F615" i="1" s="1"/>
  <c r="E616" i="1" s="1"/>
  <c r="K722" i="1"/>
  <c r="J723" i="1" s="1"/>
  <c r="I724" i="1" s="1"/>
  <c r="H725" i="1" s="1"/>
  <c r="G726" i="1" s="1"/>
  <c r="K720" i="1"/>
  <c r="M48" i="10"/>
  <c r="L49" i="10" s="1"/>
  <c r="K50" i="10" s="1"/>
  <c r="J51" i="10" s="1"/>
  <c r="I52" i="10" s="1"/>
  <c r="M46" i="10"/>
  <c r="A297" i="1"/>
  <c r="R284" i="1" s="1"/>
  <c r="R285" i="1" s="1"/>
  <c r="L53" i="5"/>
  <c r="K54" i="5" s="1"/>
  <c r="L51" i="5"/>
  <c r="M838" i="1"/>
  <c r="L839" i="1" s="1"/>
  <c r="M836" i="1"/>
  <c r="I661" i="1"/>
  <c r="H662" i="1" s="1"/>
  <c r="G663" i="1" s="1"/>
  <c r="F664" i="1" s="1"/>
  <c r="K767" i="1"/>
  <c r="J768" i="1" s="1"/>
  <c r="I769" i="1" s="1"/>
  <c r="H770" i="1" s="1"/>
  <c r="G771" i="1" s="1"/>
  <c r="F772" i="1" s="1"/>
  <c r="E773" i="1" s="1"/>
  <c r="K765" i="1"/>
  <c r="J782" i="1" l="1"/>
  <c r="J780" i="1"/>
  <c r="K52" i="5"/>
  <c r="J53" i="5" s="1"/>
  <c r="K50" i="5"/>
  <c r="L35" i="5"/>
  <c r="K36" i="5" s="1"/>
  <c r="J37" i="5" s="1"/>
  <c r="L33" i="5"/>
  <c r="J766" i="1"/>
  <c r="I767" i="1" s="1"/>
  <c r="H768" i="1" s="1"/>
  <c r="G769" i="1" s="1"/>
  <c r="F770" i="1" s="1"/>
  <c r="E771" i="1" s="1"/>
  <c r="D772" i="1" s="1"/>
  <c r="J764" i="1"/>
  <c r="I765" i="1" s="1"/>
  <c r="H766" i="1" s="1"/>
  <c r="G767" i="1" s="1"/>
  <c r="F768" i="1" s="1"/>
  <c r="E769" i="1" s="1"/>
  <c r="D770" i="1" s="1"/>
  <c r="C771" i="1" s="1"/>
  <c r="L837" i="1"/>
  <c r="K838" i="1" s="1"/>
  <c r="L835" i="1"/>
  <c r="H623" i="1"/>
  <c r="G624" i="1" s="1"/>
  <c r="F625" i="1" s="1"/>
  <c r="H621" i="1"/>
  <c r="A573" i="1"/>
  <c r="Y553" i="1" s="1"/>
  <c r="Y554" i="1" s="1"/>
  <c r="L37" i="4"/>
  <c r="K38" i="4" s="1"/>
  <c r="J39" i="4" s="1"/>
  <c r="I40" i="4" s="1"/>
  <c r="H41" i="4" s="1"/>
  <c r="G42" i="4" s="1"/>
  <c r="L35" i="4"/>
  <c r="L825" i="1"/>
  <c r="K826" i="1" s="1"/>
  <c r="J827" i="1" s="1"/>
  <c r="I828" i="1" s="1"/>
  <c r="H829" i="1" s="1"/>
  <c r="L823" i="1"/>
  <c r="L47" i="10"/>
  <c r="K48" i="10" s="1"/>
  <c r="J49" i="10" s="1"/>
  <c r="I50" i="10" s="1"/>
  <c r="H51" i="10" s="1"/>
  <c r="L45" i="10"/>
  <c r="L43" i="5"/>
  <c r="K44" i="5" s="1"/>
  <c r="J45" i="5" s="1"/>
  <c r="I46" i="5" s="1"/>
  <c r="L41" i="5"/>
  <c r="K50" i="4"/>
  <c r="J51" i="4" s="1"/>
  <c r="I52" i="4" s="1"/>
  <c r="K48" i="4"/>
  <c r="I671" i="1"/>
  <c r="H672" i="1" s="1"/>
  <c r="G673" i="1" s="1"/>
  <c r="F674" i="1" s="1"/>
  <c r="I669" i="1"/>
  <c r="J721" i="1"/>
  <c r="I722" i="1" s="1"/>
  <c r="H723" i="1" s="1"/>
  <c r="G724" i="1" s="1"/>
  <c r="F725" i="1" s="1"/>
  <c r="J719" i="1"/>
  <c r="D531" i="1"/>
  <c r="D529" i="1"/>
  <c r="B367" i="1"/>
  <c r="B365" i="1"/>
  <c r="A366" i="1" s="1"/>
  <c r="T351" i="1" s="1"/>
  <c r="T352" i="1" s="1"/>
  <c r="C486" i="1"/>
  <c r="C484" i="1"/>
  <c r="C530" i="1" l="1"/>
  <c r="C528" i="1"/>
  <c r="G622" i="1"/>
  <c r="F623" i="1" s="1"/>
  <c r="E624" i="1" s="1"/>
  <c r="G620" i="1"/>
  <c r="I781" i="1"/>
  <c r="I779" i="1"/>
  <c r="K36" i="4"/>
  <c r="J37" i="4" s="1"/>
  <c r="I38" i="4" s="1"/>
  <c r="H39" i="4" s="1"/>
  <c r="G40" i="4" s="1"/>
  <c r="F41" i="4" s="1"/>
  <c r="K34" i="4"/>
  <c r="H670" i="1"/>
  <c r="G671" i="1" s="1"/>
  <c r="F672" i="1" s="1"/>
  <c r="E673" i="1" s="1"/>
  <c r="H668" i="1"/>
  <c r="K46" i="10"/>
  <c r="J47" i="10" s="1"/>
  <c r="I48" i="10" s="1"/>
  <c r="H49" i="10" s="1"/>
  <c r="G50" i="10" s="1"/>
  <c r="K44" i="10"/>
  <c r="I720" i="1"/>
  <c r="H721" i="1" s="1"/>
  <c r="G722" i="1" s="1"/>
  <c r="F723" i="1" s="1"/>
  <c r="E724" i="1" s="1"/>
  <c r="I718" i="1"/>
  <c r="J49" i="4"/>
  <c r="I50" i="4" s="1"/>
  <c r="H51" i="4" s="1"/>
  <c r="J47" i="4"/>
  <c r="K42" i="5"/>
  <c r="J43" i="5" s="1"/>
  <c r="I44" i="5" s="1"/>
  <c r="H45" i="5" s="1"/>
  <c r="K40" i="5"/>
  <c r="K836" i="1"/>
  <c r="J837" i="1" s="1"/>
  <c r="K834" i="1"/>
  <c r="J51" i="5"/>
  <c r="I52" i="5" s="1"/>
  <c r="J49" i="5"/>
  <c r="B485" i="1"/>
  <c r="B483" i="1"/>
  <c r="K824" i="1"/>
  <c r="J825" i="1" s="1"/>
  <c r="I826" i="1" s="1"/>
  <c r="H827" i="1" s="1"/>
  <c r="G828" i="1" s="1"/>
  <c r="K822" i="1"/>
  <c r="K34" i="5"/>
  <c r="J35" i="5" s="1"/>
  <c r="I36" i="5" s="1"/>
  <c r="J41" i="5" l="1"/>
  <c r="I42" i="5" s="1"/>
  <c r="H43" i="5" s="1"/>
  <c r="G44" i="5" s="1"/>
  <c r="J39" i="5"/>
  <c r="G669" i="1"/>
  <c r="F670" i="1" s="1"/>
  <c r="E671" i="1" s="1"/>
  <c r="D672" i="1" s="1"/>
  <c r="G667" i="1"/>
  <c r="J823" i="1"/>
  <c r="I824" i="1" s="1"/>
  <c r="H825" i="1" s="1"/>
  <c r="G826" i="1" s="1"/>
  <c r="F827" i="1" s="1"/>
  <c r="J821" i="1"/>
  <c r="I48" i="4"/>
  <c r="H49" i="4" s="1"/>
  <c r="G50" i="4" s="1"/>
  <c r="I46" i="4"/>
  <c r="J45" i="10"/>
  <c r="I46" i="10" s="1"/>
  <c r="H47" i="10" s="1"/>
  <c r="G48" i="10" s="1"/>
  <c r="F49" i="10" s="1"/>
  <c r="J43" i="10"/>
  <c r="I50" i="5"/>
  <c r="H51" i="5" s="1"/>
  <c r="I48" i="5"/>
  <c r="J35" i="4"/>
  <c r="I36" i="4" s="1"/>
  <c r="H37" i="4" s="1"/>
  <c r="G38" i="4" s="1"/>
  <c r="F39" i="4" s="1"/>
  <c r="E40" i="4" s="1"/>
  <c r="H719" i="1"/>
  <c r="G720" i="1" s="1"/>
  <c r="F721" i="1" s="1"/>
  <c r="E722" i="1" s="1"/>
  <c r="D723" i="1" s="1"/>
  <c r="H717" i="1"/>
  <c r="B529" i="1"/>
  <c r="B527" i="1"/>
  <c r="A484" i="1"/>
  <c r="W466" i="1" s="1"/>
  <c r="W467" i="1" s="1"/>
  <c r="J835" i="1"/>
  <c r="I836" i="1" s="1"/>
  <c r="J833" i="1"/>
  <c r="H780" i="1"/>
  <c r="H778" i="1"/>
  <c r="F621" i="1"/>
  <c r="E622" i="1" s="1"/>
  <c r="D623" i="1" s="1"/>
  <c r="F619" i="1"/>
  <c r="G779" i="1" l="1"/>
  <c r="G777" i="1"/>
  <c r="E620" i="1"/>
  <c r="D621" i="1" s="1"/>
  <c r="C622" i="1" s="1"/>
  <c r="E618" i="1"/>
  <c r="G718" i="1"/>
  <c r="F719" i="1" s="1"/>
  <c r="E720" i="1" s="1"/>
  <c r="D721" i="1" s="1"/>
  <c r="C722" i="1" s="1"/>
  <c r="G716" i="1"/>
  <c r="H47" i="4"/>
  <c r="G48" i="4" s="1"/>
  <c r="F49" i="4" s="1"/>
  <c r="H45" i="4"/>
  <c r="F668" i="1"/>
  <c r="E669" i="1" s="1"/>
  <c r="D670" i="1" s="1"/>
  <c r="C671" i="1" s="1"/>
  <c r="F666" i="1"/>
  <c r="I834" i="1"/>
  <c r="H835" i="1" s="1"/>
  <c r="I832" i="1"/>
  <c r="A528" i="1"/>
  <c r="X509" i="1" s="1"/>
  <c r="X510" i="1" s="1"/>
  <c r="I44" i="10"/>
  <c r="H45" i="10" s="1"/>
  <c r="G46" i="10" s="1"/>
  <c r="F47" i="10" s="1"/>
  <c r="E48" i="10" s="1"/>
  <c r="I42" i="10"/>
  <c r="I822" i="1"/>
  <c r="H823" i="1" s="1"/>
  <c r="G824" i="1" s="1"/>
  <c r="F825" i="1" s="1"/>
  <c r="E826" i="1" s="1"/>
  <c r="I820" i="1"/>
  <c r="H821" i="1" s="1"/>
  <c r="G822" i="1" s="1"/>
  <c r="F823" i="1" s="1"/>
  <c r="E824" i="1" s="1"/>
  <c r="D825" i="1" s="1"/>
  <c r="I40" i="5"/>
  <c r="H41" i="5" s="1"/>
  <c r="G42" i="5" s="1"/>
  <c r="F43" i="5" s="1"/>
  <c r="I38" i="5"/>
  <c r="H49" i="5"/>
  <c r="G50" i="5" s="1"/>
  <c r="H47" i="5"/>
  <c r="E667" i="1" l="1"/>
  <c r="D668" i="1" s="1"/>
  <c r="C669" i="1" s="1"/>
  <c r="B670" i="1" s="1"/>
  <c r="E665" i="1"/>
  <c r="D666" i="1" s="1"/>
  <c r="C667" i="1" s="1"/>
  <c r="B668" i="1" s="1"/>
  <c r="A669" i="1" s="1"/>
  <c r="AA647" i="1" s="1"/>
  <c r="AA648" i="1" s="1"/>
  <c r="F717" i="1"/>
  <c r="E718" i="1" s="1"/>
  <c r="D719" i="1" s="1"/>
  <c r="C720" i="1" s="1"/>
  <c r="B721" i="1" s="1"/>
  <c r="F715" i="1"/>
  <c r="E716" i="1" s="1"/>
  <c r="F778" i="1"/>
  <c r="F776" i="1"/>
  <c r="H39" i="5"/>
  <c r="G40" i="5" s="1"/>
  <c r="F41" i="5" s="1"/>
  <c r="E42" i="5" s="1"/>
  <c r="H37" i="5"/>
  <c r="H43" i="10"/>
  <c r="G44" i="10" s="1"/>
  <c r="F45" i="10" s="1"/>
  <c r="E46" i="10" s="1"/>
  <c r="D47" i="10" s="1"/>
  <c r="H41" i="10"/>
  <c r="H833" i="1"/>
  <c r="G834" i="1" s="1"/>
  <c r="H831" i="1"/>
  <c r="G46" i="4"/>
  <c r="F47" i="4" s="1"/>
  <c r="E48" i="4" s="1"/>
  <c r="G44" i="4"/>
  <c r="D619" i="1"/>
  <c r="C620" i="1" s="1"/>
  <c r="B621" i="1" s="1"/>
  <c r="D617" i="1"/>
  <c r="G48" i="5"/>
  <c r="F49" i="5" s="1"/>
  <c r="G46" i="5"/>
  <c r="F45" i="4" l="1"/>
  <c r="E46" i="4" s="1"/>
  <c r="D47" i="4" s="1"/>
  <c r="F43" i="4"/>
  <c r="G42" i="10"/>
  <c r="F43" i="10" s="1"/>
  <c r="E44" i="10" s="1"/>
  <c r="D45" i="10" s="1"/>
  <c r="C46" i="10" s="1"/>
  <c r="G40" i="10"/>
  <c r="E777" i="1"/>
  <c r="E775" i="1"/>
  <c r="F47" i="5"/>
  <c r="E48" i="5" s="1"/>
  <c r="F45" i="5"/>
  <c r="C618" i="1"/>
  <c r="B619" i="1" s="1"/>
  <c r="A620" i="1" s="1"/>
  <c r="Z599" i="1" s="1"/>
  <c r="Z600" i="1" s="1"/>
  <c r="G832" i="1"/>
  <c r="F833" i="1" s="1"/>
  <c r="G830" i="1"/>
  <c r="G38" i="5"/>
  <c r="F39" i="5" s="1"/>
  <c r="E40" i="5" s="1"/>
  <c r="D41" i="5" s="1"/>
  <c r="D717" i="1"/>
  <c r="C718" i="1" s="1"/>
  <c r="B719" i="1" s="1"/>
  <c r="A720" i="1" s="1"/>
  <c r="AB697" i="1" s="1"/>
  <c r="AB698" i="1" s="1"/>
  <c r="F831" i="1" l="1"/>
  <c r="E832" i="1" s="1"/>
  <c r="F829" i="1"/>
  <c r="E46" i="5"/>
  <c r="D47" i="5" s="1"/>
  <c r="E44" i="5"/>
  <c r="F41" i="10"/>
  <c r="E42" i="10" s="1"/>
  <c r="D43" i="10" s="1"/>
  <c r="C44" i="10" s="1"/>
  <c r="B45" i="10" s="1"/>
  <c r="F39" i="10"/>
  <c r="E40" i="10" s="1"/>
  <c r="D41" i="10" s="1"/>
  <c r="C42" i="10" s="1"/>
  <c r="B43" i="10" s="1"/>
  <c r="A44" i="10" s="1"/>
  <c r="D776" i="1"/>
  <c r="D774" i="1"/>
  <c r="E44" i="4"/>
  <c r="D45" i="4" s="1"/>
  <c r="C46" i="4" s="1"/>
  <c r="E42" i="4"/>
  <c r="E830" i="1" l="1"/>
  <c r="D831" i="1" s="1"/>
  <c r="E828" i="1"/>
  <c r="C775" i="1"/>
  <c r="C773" i="1"/>
  <c r="D45" i="5"/>
  <c r="C46" i="5" s="1"/>
  <c r="D43" i="5"/>
  <c r="D43" i="4"/>
  <c r="C44" i="4" s="1"/>
  <c r="B45" i="4" s="1"/>
  <c r="H96" i="4" s="1"/>
  <c r="G98" i="4" s="1"/>
  <c r="J100" i="4" s="1"/>
  <c r="D41" i="4"/>
  <c r="C42" i="4" s="1"/>
  <c r="B43" i="4" s="1"/>
  <c r="B774" i="1" l="1"/>
  <c r="B772" i="1"/>
  <c r="A773" i="1" s="1"/>
  <c r="AC749" i="1" s="1"/>
  <c r="AC750" i="1" s="1"/>
  <c r="A44" i="4"/>
  <c r="H95" i="4"/>
  <c r="C44" i="5"/>
  <c r="B45" i="5" s="1"/>
  <c r="B96" i="4" s="1"/>
  <c r="C42" i="5"/>
  <c r="B43" i="5" s="1"/>
  <c r="D829" i="1"/>
  <c r="C830" i="1" s="1"/>
  <c r="D827" i="1"/>
  <c r="C828" i="1" l="1"/>
  <c r="B829" i="1" s="1"/>
  <c r="C826" i="1"/>
  <c r="B827" i="1" s="1"/>
  <c r="A828" i="1" s="1"/>
  <c r="AD803" i="1" s="1"/>
  <c r="AD804" i="1" s="1"/>
  <c r="D102" i="4"/>
  <c r="L100" i="4"/>
  <c r="B95" i="4"/>
  <c r="A44" i="5"/>
  <c r="D98" i="4"/>
  <c r="G100" i="4" s="1"/>
  <c r="B100" i="4" l="1"/>
  <c r="B102" i="4" s="1"/>
  <c r="C104" i="4" s="1"/>
  <c r="E119" i="4" l="1"/>
  <c r="H119" i="4" s="1"/>
  <c r="I121" i="4" s="1"/>
  <c r="I123" i="4" s="1"/>
  <c r="C105" i="4"/>
  <c r="E120" i="4" s="1"/>
  <c r="H120" i="4" s="1"/>
  <c r="D108" i="4"/>
  <c r="I126" i="4" s="1"/>
  <c r="D109" i="4" l="1"/>
  <c r="I127" i="4" s="1"/>
  <c r="E113" i="4"/>
</calcChain>
</file>

<file path=xl/sharedStrings.xml><?xml version="1.0" encoding="utf-8"?>
<sst xmlns="http://schemas.openxmlformats.org/spreadsheetml/2006/main" count="79" uniqueCount="72">
  <si>
    <t xml:space="preserve"> noncallable bonds:</t>
    <phoneticPr fontId="1" type="noConversion"/>
  </si>
  <si>
    <t xml:space="preserve">  T-Bills</t>
    <phoneticPr fontId="1" type="noConversion"/>
  </si>
  <si>
    <t>So since the OAS is negative, the callable bond is trading rich (relative to our model).</t>
    <phoneticPr fontId="1" type="noConversion"/>
  </si>
  <si>
    <t>1) Sell the callable bond for:</t>
    <phoneticPr fontId="1" type="noConversion"/>
  </si>
  <si>
    <t>2) Buy the replicating portfolio:</t>
    <phoneticPr fontId="1" type="noConversion"/>
  </si>
  <si>
    <t>Net Cash Flow:</t>
    <phoneticPr fontId="1" type="noConversion"/>
  </si>
  <si>
    <t>In 6 months, according to our model, one of 2 things can happen:</t>
    <phoneticPr fontId="1" type="noConversion"/>
  </si>
  <si>
    <t>Either:</t>
    <phoneticPr fontId="1" type="noConversion"/>
  </si>
  <si>
    <t>interest rates rise and the value of our arbitrage portfolio is:</t>
    <phoneticPr fontId="1" type="noConversion"/>
  </si>
  <si>
    <t xml:space="preserve"> ---- or</t>
    <phoneticPr fontId="1" type="noConversion"/>
  </si>
  <si>
    <t>interest rates fall and the value of our arbitrage portfolio is:</t>
    <phoneticPr fontId="1" type="noConversion"/>
  </si>
  <si>
    <t>Therefore, in 6 months we can liquidate our arbitrage portfolio, and our cash effect will be 0 -- no matter what happens.</t>
    <phoneticPr fontId="1" type="noConversion"/>
  </si>
  <si>
    <t>OAS: (Tickman)</t>
  </si>
  <si>
    <t xml:space="preserve">Using this definition, the the OAS is computed using the worksheets: OASrts and OASComp as </t>
  </si>
  <si>
    <t>Dynamic Replication</t>
  </si>
  <si>
    <t>An appeal of the binomial tree is that we can imagine a dynamic replication stratgey along the tree.</t>
  </si>
  <si>
    <t>Let's look at replicating the callable bond.</t>
  </si>
  <si>
    <t>We'll use  the non-callable bond and a 6-month Treasury bill.</t>
  </si>
  <si>
    <t>L</t>
    <phoneticPr fontId="0" type="noConversion"/>
  </si>
  <si>
    <t>+</t>
    <phoneticPr fontId="0" type="noConversion"/>
  </si>
  <si>
    <t>S</t>
    <phoneticPr fontId="0" type="noConversion"/>
  </si>
  <si>
    <t>=</t>
    <phoneticPr fontId="0" type="noConversion"/>
  </si>
  <si>
    <t>+</t>
    <phoneticPr fontId="0" type="noConversion"/>
  </si>
  <si>
    <t>S</t>
    <phoneticPr fontId="0" type="noConversion"/>
  </si>
  <si>
    <t>=</t>
    <phoneticPr fontId="0" type="noConversion"/>
  </si>
  <si>
    <t>-</t>
    <phoneticPr fontId="0" type="noConversion"/>
  </si>
  <si>
    <t>* (</t>
    <phoneticPr fontId="0" type="noConversion"/>
  </si>
  <si>
    <t>-</t>
    <phoneticPr fontId="0" type="noConversion"/>
  </si>
  <si>
    <t>)  =</t>
    <phoneticPr fontId="0" type="noConversion"/>
  </si>
  <si>
    <t>L =</t>
    <phoneticPr fontId="0" type="noConversion"/>
  </si>
  <si>
    <t>L:</t>
    <phoneticPr fontId="0" type="noConversion"/>
  </si>
  <si>
    <t>S:</t>
    <phoneticPr fontId="0" type="noConversion"/>
  </si>
  <si>
    <t>Verify:</t>
    <phoneticPr fontId="0" type="noConversion"/>
  </si>
  <si>
    <t>Up:</t>
    <phoneticPr fontId="0" type="noConversion"/>
  </si>
  <si>
    <t>Down:</t>
    <phoneticPr fontId="0" type="noConversion"/>
  </si>
  <si>
    <t>Value of Replicating Portfolio:</t>
    <phoneticPr fontId="0" type="noConversion"/>
  </si>
  <si>
    <t>6-mo Bill:</t>
  </si>
  <si>
    <t xml:space="preserve">  Note that this is identical to our model price for the callable bond.</t>
    <phoneticPr fontId="1" type="noConversion"/>
  </si>
  <si>
    <t>---This is what we expect because This is the same model that is used to value the noncallable bond and the bill.</t>
    <phoneticPr fontId="1" type="noConversion"/>
  </si>
  <si>
    <t>Accordingly, we can make arbitrage by:</t>
    <phoneticPr fontId="1" type="noConversion"/>
  </si>
  <si>
    <t>Term (Yrs)</t>
  </si>
  <si>
    <t>Yld (Cont Cmp)</t>
  </si>
  <si>
    <t>Forward Vol</t>
  </si>
  <si>
    <t>Price</t>
  </si>
  <si>
    <t>No we consider a hypothetical callable US Treasury Bond.  This bond is 17.5 years old, has a 4% coupon rate, Matures in 12.5 years, and is callable starting in 7.5 years.</t>
  </si>
  <si>
    <t xml:space="preserve">  (That is, it is callable--without any penalty starting in its 25th year.)</t>
  </si>
  <si>
    <t>To ascertain the value of this security, we will start at the end of its life, and work backwards through the tree:</t>
  </si>
  <si>
    <t>Semi-annual coupon rate:</t>
  </si>
  <si>
    <t>Coupon Rate:</t>
  </si>
  <si>
    <t>Cash flows of pay fixed receive floating 5-year swap</t>
  </si>
  <si>
    <t>Notional Principal:</t>
  </si>
  <si>
    <t>We can obtain the swap rate by Solver:</t>
  </si>
  <si>
    <t>Bermudan Swaption</t>
  </si>
  <si>
    <t>Consider a swaption that allows us to enter into the swap in the preceding page at any node in the first 2.5 years of the swap's life.</t>
  </si>
  <si>
    <t>Make the valueof the swap zero, by changing the coupon rate in cell C1.</t>
  </si>
  <si>
    <t>If we exercise the swaption, we jump into the swap tree (on the preceding worksheet).</t>
  </si>
  <si>
    <t>I use conditional formatting to highlight the nodes in which we exercise the Bermudan swaption.</t>
  </si>
  <si>
    <t>--Note that exercising a swaption means that you now own the swap (on the preceding worksheet).</t>
  </si>
  <si>
    <t>Time (Years):</t>
  </si>
  <si>
    <t>Look at the bond's price as a function of the 6-month short rate in 8 years:</t>
  </si>
  <si>
    <t>Non-Callable Bond:</t>
  </si>
  <si>
    <t>Short rate</t>
  </si>
  <si>
    <t>Bond Price</t>
  </si>
  <si>
    <t>Callable Bond:</t>
  </si>
  <si>
    <t>Option Adjusted Spread</t>
  </si>
  <si>
    <t>Suppose that the quoted market price on this Bond were:</t>
  </si>
  <si>
    <t>The Option Adjusted Spread is the change needed in the spot curve (i.e., a parallel shift) needed to price the security correctly.</t>
  </si>
  <si>
    <t>Tuckman gives a different definition:  ``The OAS is the spread that when added to all the short rates in the risk-neutral tree for discounting purposes produces  a</t>
  </si>
  <si>
    <t xml:space="preserve">     model price equal to the market price.''  (p. 278, 2nd ed.)</t>
  </si>
  <si>
    <t>Our model says that this bond is trading rich.</t>
  </si>
  <si>
    <t>--That is, the market price exceeds the model price.</t>
  </si>
  <si>
    <t>Since the bond is trading rich, its OAS is negative.  --We need lower interest rates in our model to reconcile the model and the market.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</si>
</sst>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0000000"/>
  </numFmts>
  <fonts count="3" x14ac:knownFonts="1">
    <font>
      <sz val="11"/>
      <color theme="1"/>
      <name val="Calibri"/>
      <family val="2"/>
      <scheme val="minor"/>
    </font>
    <font>
      <sz val="8"/>
      <name val="Verdana"/>
    </font>
    <font>
      <b/>
      <sz val="11"/>
      <color indexed="8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quotePrefix="1"/>
    <xf numFmtId="0" fontId="2" fillId="0" borderId="0" xfId="0" applyFont="1"/>
  </cellXfs>
  <cellStyles count="1">
    <cellStyle name="Normal" xfId="0" builtinId="0"/>
  </cellStyles>
  <dxfs count="389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strike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'Negative Convexity'!$A$10:$A$19</c:f>
              <c:numCache>
                <c:formatCode>General</c:formatCode>
                <c:ptCount val="10"/>
                <c:pt idx="0">
                  <c:v>0.2906385891312302</c:v>
                </c:pt>
                <c:pt idx="1">
                  <c:v>0.15599562063879988</c:v>
                </c:pt>
                <c:pt idx="2">
                  <c:v>8.3728157816981078E-2</c:v>
                </c:pt>
                <c:pt idx="3">
                  <c:v>4.4939751402749535E-2</c:v>
                </c:pt>
                <c:pt idx="4">
                  <c:v>2.4120693788050027E-2</c:v>
                </c:pt>
                <c:pt idx="5">
                  <c:v>1.294639713519374E-2</c:v>
                </c:pt>
                <c:pt idx="6">
                  <c:v>6.9487718825563078E-3</c:v>
                </c:pt>
                <c:pt idx="7">
                  <c:v>3.7296423222291757E-3</c:v>
                </c:pt>
                <c:pt idx="8">
                  <c:v>2.0018259466370292E-3</c:v>
                </c:pt>
                <c:pt idx="9">
                  <c:v>1.0744481037082668E-3</c:v>
                </c:pt>
              </c:numCache>
            </c:numRef>
          </c:xVal>
          <c:yVal>
            <c:numRef>
              <c:f>'Negative Convexity'!$B$10:$B$19</c:f>
              <c:numCache>
                <c:formatCode>General</c:formatCode>
                <c:ptCount val="10"/>
                <c:pt idx="0">
                  <c:v>55.734056520992539</c:v>
                </c:pt>
                <c:pt idx="1">
                  <c:v>76.511078165596288</c:v>
                </c:pt>
                <c:pt idx="2">
                  <c:v>92.468207380539198</c:v>
                </c:pt>
                <c:pt idx="3">
                  <c:v>103.3087266997977</c:v>
                </c:pt>
                <c:pt idx="4">
                  <c:v>110.14319112717338</c:v>
                </c:pt>
                <c:pt idx="5">
                  <c:v>114.26240423522626</c:v>
                </c:pt>
                <c:pt idx="6">
                  <c:v>116.67396305999667</c:v>
                </c:pt>
                <c:pt idx="7">
                  <c:v>118.01132169402111</c:v>
                </c:pt>
                <c:pt idx="8">
                  <c:v>118.76179582191033</c:v>
                </c:pt>
                <c:pt idx="9">
                  <c:v>119.28610374768861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454080"/>
        <c:axId val="77454656"/>
      </c:scatterChart>
      <c:valAx>
        <c:axId val="77454080"/>
        <c:scaling>
          <c:orientation val="minMax"/>
          <c:max val="0.3"/>
        </c:scaling>
        <c:delete val="0"/>
        <c:axPos val="b"/>
        <c:numFmt formatCode="General" sourceLinked="1"/>
        <c:majorTickMark val="out"/>
        <c:minorTickMark val="none"/>
        <c:tickLblPos val="nextTo"/>
        <c:crossAx val="77454656"/>
        <c:crosses val="autoZero"/>
        <c:crossBetween val="midCat"/>
      </c:valAx>
      <c:valAx>
        <c:axId val="77454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745408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'Negative Convexity'!$A$43:$A$49</c:f>
              <c:numCache>
                <c:formatCode>General</c:formatCode>
                <c:ptCount val="7"/>
                <c:pt idx="0">
                  <c:v>0.2906385891312302</c:v>
                </c:pt>
                <c:pt idx="1">
                  <c:v>0.15599562063879988</c:v>
                </c:pt>
                <c:pt idx="2">
                  <c:v>8.3728157816981078E-2</c:v>
                </c:pt>
                <c:pt idx="3">
                  <c:v>4.4939751402749535E-2</c:v>
                </c:pt>
                <c:pt idx="4">
                  <c:v>2.4120693788050027E-2</c:v>
                </c:pt>
                <c:pt idx="5">
                  <c:v>1.294639713519374E-2</c:v>
                </c:pt>
                <c:pt idx="6">
                  <c:v>6.9487718825563078E-3</c:v>
                </c:pt>
              </c:numCache>
            </c:numRef>
          </c:xVal>
          <c:yVal>
            <c:numRef>
              <c:f>'Negative Convexity'!$B$43:$B$49</c:f>
              <c:numCache>
                <c:formatCode>General</c:formatCode>
                <c:ptCount val="7"/>
                <c:pt idx="0">
                  <c:v>55.677921446395231</c:v>
                </c:pt>
                <c:pt idx="1">
                  <c:v>76.199826002972358</c:v>
                </c:pt>
                <c:pt idx="2">
                  <c:v>91.315447834807273</c:v>
                </c:pt>
                <c:pt idx="3">
                  <c:v>99.845905745921641</c:v>
                </c:pt>
                <c:pt idx="4">
                  <c:v>102</c:v>
                </c:pt>
                <c:pt idx="5">
                  <c:v>102</c:v>
                </c:pt>
                <c:pt idx="6">
                  <c:v>102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463680"/>
        <c:axId val="93464256"/>
      </c:scatterChart>
      <c:valAx>
        <c:axId val="93463680"/>
        <c:scaling>
          <c:orientation val="minMax"/>
          <c:max val="0.3"/>
        </c:scaling>
        <c:delete val="0"/>
        <c:axPos val="b"/>
        <c:numFmt formatCode="General" sourceLinked="1"/>
        <c:majorTickMark val="out"/>
        <c:minorTickMark val="none"/>
        <c:tickLblPos val="nextTo"/>
        <c:crossAx val="93464256"/>
        <c:crosses val="autoZero"/>
        <c:crossBetween val="midCat"/>
      </c:valAx>
      <c:valAx>
        <c:axId val="93464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346368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2</xdr:row>
      <xdr:rowOff>171450</xdr:rowOff>
    </xdr:from>
    <xdr:to>
      <xdr:col>19</xdr:col>
      <xdr:colOff>123824</xdr:colOff>
      <xdr:row>30</xdr:row>
      <xdr:rowOff>9525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328611</xdr:colOff>
      <xdr:row>33</xdr:row>
      <xdr:rowOff>52387</xdr:rowOff>
    </xdr:from>
    <xdr:to>
      <xdr:col>19</xdr:col>
      <xdr:colOff>495300</xdr:colOff>
      <xdr:row>56</xdr:row>
      <xdr:rowOff>104775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codeName="Sheet1" enableFormatConditionsCalculation="0"/>
  <dimension ref="A1:AD854"/>
  <sheetViews>
    <sheetView topLeftCell="A2" zoomScale="60" zoomScaleNormal="60" zoomScalePageLayoutView="60" workbookViewId="0">
      <selection activeCell="J35" sqref="J35"/>
    </sheetView>
  </sheetViews>
  <sheetFormatPr defaultColWidth="8.85546875" defaultRowHeight="15" x14ac:dyDescent="0.25"/>
  <cols>
    <col min="1" max="1" width="11" customWidth="1"/>
    <col min="2" max="2" width="14.28515625" customWidth="1"/>
    <col min="3" max="3" width="12" customWidth="1"/>
    <col min="13" max="13" width="10" bestFit="1" customWidth="1"/>
    <col min="21" max="21" width="13.85546875" customWidth="1"/>
    <col min="22" max="22" width="13.42578125" customWidth="1"/>
    <col min="23" max="23" width="20.42578125" customWidth="1"/>
    <col min="24" max="24" width="20.140625" bestFit="1" customWidth="1"/>
    <col min="25" max="25" width="19.140625" bestFit="1" customWidth="1"/>
    <col min="26" max="26" width="14.7109375" bestFit="1" customWidth="1"/>
    <col min="27" max="27" width="23.42578125" customWidth="1"/>
    <col min="28" max="28" width="22.28515625" customWidth="1"/>
    <col min="29" max="29" width="12" bestFit="1" customWidth="1"/>
  </cols>
  <sheetData>
    <row r="1" spans="1:4" x14ac:dyDescent="0.25">
      <c r="A1" t="s">
        <v>40</v>
      </c>
      <c r="B1" t="s">
        <v>41</v>
      </c>
      <c r="C1" t="s">
        <v>42</v>
      </c>
      <c r="D1" t="s">
        <v>43</v>
      </c>
    </row>
    <row r="2" spans="1:4" x14ac:dyDescent="0.25">
      <c r="A2">
        <v>0.5</v>
      </c>
      <c r="B2">
        <v>6.6E-3</v>
      </c>
    </row>
    <row r="3" spans="1:4" x14ac:dyDescent="0.25">
      <c r="A3">
        <v>1</v>
      </c>
      <c r="B3">
        <v>0.01</v>
      </c>
      <c r="C3">
        <v>0.44</v>
      </c>
      <c r="D3">
        <f>100*EXP(-B3*A3)</f>
        <v>99.004983374916804</v>
      </c>
    </row>
    <row r="4" spans="1:4" x14ac:dyDescent="0.25">
      <c r="A4">
        <v>1.5</v>
      </c>
      <c r="B4">
        <v>1.2E-2</v>
      </c>
      <c r="C4">
        <v>0.44</v>
      </c>
      <c r="D4">
        <f t="shared" ref="D4:D27" si="0">100*EXP(-B4*A4)</f>
        <v>98.216103235830076</v>
      </c>
    </row>
    <row r="5" spans="1:4" x14ac:dyDescent="0.25">
      <c r="A5">
        <v>2</v>
      </c>
      <c r="B5">
        <v>1.4E-2</v>
      </c>
      <c r="C5">
        <v>0.44</v>
      </c>
      <c r="D5">
        <f t="shared" si="0"/>
        <v>97.238836680124692</v>
      </c>
    </row>
    <row r="6" spans="1:4" x14ac:dyDescent="0.25">
      <c r="A6">
        <v>2.5</v>
      </c>
      <c r="B6">
        <v>1.4500000000000001E-2</v>
      </c>
      <c r="C6">
        <v>0.5</v>
      </c>
      <c r="D6">
        <f t="shared" si="0"/>
        <v>96.439916355224952</v>
      </c>
    </row>
    <row r="7" spans="1:4" x14ac:dyDescent="0.25">
      <c r="A7">
        <v>3</v>
      </c>
      <c r="B7">
        <v>1.6E-2</v>
      </c>
      <c r="C7">
        <v>0.5</v>
      </c>
      <c r="D7">
        <f t="shared" si="0"/>
        <v>95.313378707750473</v>
      </c>
    </row>
    <row r="8" spans="1:4" x14ac:dyDescent="0.25">
      <c r="A8">
        <v>3.5</v>
      </c>
      <c r="B8">
        <v>1.7000000000000001E-2</v>
      </c>
      <c r="C8">
        <v>0.5</v>
      </c>
      <c r="D8">
        <f t="shared" si="0"/>
        <v>94.223553359123002</v>
      </c>
    </row>
    <row r="9" spans="1:4" x14ac:dyDescent="0.25">
      <c r="A9">
        <v>4</v>
      </c>
      <c r="B9">
        <v>1.9E-2</v>
      </c>
      <c r="C9">
        <v>0.55000000000000004</v>
      </c>
      <c r="D9">
        <f t="shared" si="0"/>
        <v>92.681620655938218</v>
      </c>
    </row>
    <row r="10" spans="1:4" x14ac:dyDescent="0.25">
      <c r="A10">
        <v>4.5</v>
      </c>
      <c r="B10">
        <v>0.02</v>
      </c>
      <c r="C10">
        <v>0.55000000000000004</v>
      </c>
      <c r="D10">
        <f t="shared" si="0"/>
        <v>91.393118527122823</v>
      </c>
    </row>
    <row r="11" spans="1:4" x14ac:dyDescent="0.25">
      <c r="A11">
        <v>5</v>
      </c>
      <c r="B11">
        <v>2.1999999999999999E-2</v>
      </c>
      <c r="C11">
        <v>0.55000000000000004</v>
      </c>
      <c r="D11">
        <f t="shared" si="0"/>
        <v>89.583413529652816</v>
      </c>
    </row>
    <row r="12" spans="1:4" x14ac:dyDescent="0.25">
      <c r="A12">
        <v>5.5</v>
      </c>
      <c r="B12">
        <v>2.3E-2</v>
      </c>
      <c r="C12">
        <v>0.55000000000000004</v>
      </c>
      <c r="D12">
        <f t="shared" si="0"/>
        <v>88.117414954351545</v>
      </c>
    </row>
    <row r="13" spans="1:4" x14ac:dyDescent="0.25">
      <c r="A13">
        <v>6</v>
      </c>
      <c r="B13">
        <v>2.5999999999999999E-2</v>
      </c>
      <c r="C13">
        <v>0.65</v>
      </c>
      <c r="D13">
        <f t="shared" si="0"/>
        <v>85.555919037101845</v>
      </c>
    </row>
    <row r="14" spans="1:4" x14ac:dyDescent="0.25">
      <c r="A14">
        <v>6.5</v>
      </c>
      <c r="B14">
        <v>2.8000000000000001E-2</v>
      </c>
      <c r="C14">
        <v>0.65</v>
      </c>
      <c r="D14">
        <f t="shared" si="0"/>
        <v>83.360134041573531</v>
      </c>
    </row>
    <row r="15" spans="1:4" x14ac:dyDescent="0.25">
      <c r="A15">
        <v>7</v>
      </c>
      <c r="B15">
        <v>2.9000000000000001E-2</v>
      </c>
      <c r="C15">
        <v>0.65</v>
      </c>
      <c r="D15">
        <f t="shared" si="0"/>
        <v>81.627824142560996</v>
      </c>
    </row>
    <row r="16" spans="1:4" x14ac:dyDescent="0.25">
      <c r="A16">
        <v>7.5</v>
      </c>
      <c r="B16">
        <v>0.03</v>
      </c>
      <c r="C16">
        <v>0.65</v>
      </c>
      <c r="D16">
        <f t="shared" si="0"/>
        <v>79.85162187593771</v>
      </c>
    </row>
    <row r="17" spans="1:26" x14ac:dyDescent="0.25">
      <c r="A17">
        <v>8</v>
      </c>
      <c r="B17">
        <v>0.03</v>
      </c>
      <c r="C17">
        <v>0.44</v>
      </c>
      <c r="D17">
        <f t="shared" si="0"/>
        <v>78.662786106655346</v>
      </c>
    </row>
    <row r="18" spans="1:26" x14ac:dyDescent="0.25">
      <c r="A18">
        <v>8.5</v>
      </c>
      <c r="B18">
        <v>3.2000000000000001E-2</v>
      </c>
      <c r="C18">
        <v>0.44</v>
      </c>
      <c r="D18">
        <f t="shared" si="0"/>
        <v>76.185426108983762</v>
      </c>
    </row>
    <row r="19" spans="1:26" x14ac:dyDescent="0.25">
      <c r="A19">
        <v>9</v>
      </c>
      <c r="B19">
        <v>3.2000000000000001E-2</v>
      </c>
      <c r="C19">
        <v>0.44</v>
      </c>
      <c r="D19">
        <f t="shared" si="0"/>
        <v>74.976159223904119</v>
      </c>
      <c r="Z19">
        <v>8.6656314417411426</v>
      </c>
    </row>
    <row r="20" spans="1:26" x14ac:dyDescent="0.25">
      <c r="A20">
        <v>9.5</v>
      </c>
      <c r="B20">
        <v>3.3000000000000002E-2</v>
      </c>
      <c r="C20">
        <v>0.4</v>
      </c>
      <c r="D20">
        <f t="shared" si="0"/>
        <v>73.088437900360418</v>
      </c>
      <c r="Y20">
        <v>11.023118823091156</v>
      </c>
    </row>
    <row r="21" spans="1:26" x14ac:dyDescent="0.25">
      <c r="A21">
        <v>10</v>
      </c>
      <c r="B21">
        <v>3.4000000000000002E-2</v>
      </c>
      <c r="C21">
        <v>0.4</v>
      </c>
      <c r="D21">
        <f t="shared" si="0"/>
        <v>71.17703227626096</v>
      </c>
      <c r="X21">
        <v>11.447835267760341</v>
      </c>
      <c r="Z21">
        <f>(Z19^24*Z69)^(1/25)</f>
        <v>5.2824504020022012</v>
      </c>
    </row>
    <row r="22" spans="1:26" x14ac:dyDescent="0.25">
      <c r="A22">
        <v>10.5</v>
      </c>
      <c r="B22">
        <v>3.5000000000000003E-2</v>
      </c>
      <c r="C22">
        <v>0.4</v>
      </c>
      <c r="D22">
        <f>100*EXP(-B22*A22)</f>
        <v>69.246332680864342</v>
      </c>
      <c r="W22">
        <v>8.2438183953078212</v>
      </c>
      <c r="Y22">
        <f>(Y20^23*Y68)^(1/24)</f>
        <v>6.5321477980468172</v>
      </c>
    </row>
    <row r="23" spans="1:26" x14ac:dyDescent="0.25">
      <c r="A23">
        <v>11</v>
      </c>
      <c r="B23">
        <v>3.5000000000000003E-2</v>
      </c>
      <c r="C23">
        <v>0.4</v>
      </c>
      <c r="D23">
        <f>100*EXP(-B23*A23)</f>
        <v>68.045063620458762</v>
      </c>
      <c r="V23">
        <v>10.21033611855229</v>
      </c>
      <c r="X23">
        <f>(X21^22*X67)^(1/23)</f>
        <v>6.783847821064505</v>
      </c>
      <c r="Z23">
        <f>(Z19^23*Z69^2)^(1/25)</f>
        <v>3.2201095139128775</v>
      </c>
    </row>
    <row r="24" spans="1:26" x14ac:dyDescent="0.25">
      <c r="A24">
        <v>11.5</v>
      </c>
      <c r="B24">
        <v>3.4875000000000003E-2</v>
      </c>
      <c r="C24">
        <v>0.37</v>
      </c>
      <c r="D24">
        <f>100*EXP(-B24*A24)</f>
        <v>66.960820921700275</v>
      </c>
      <c r="U24">
        <v>12.061092446216108</v>
      </c>
      <c r="W24">
        <f>(W22^21*W66)^(1/22)</f>
        <v>4.885172592550818</v>
      </c>
      <c r="Y24">
        <f>(Y20^22*Y68^2)^(1/24)</f>
        <v>3.8708604652020306</v>
      </c>
    </row>
    <row r="25" spans="1:26" x14ac:dyDescent="0.25">
      <c r="A25">
        <v>12</v>
      </c>
      <c r="B25">
        <v>3.4860000000000002E-2</v>
      </c>
      <c r="C25">
        <v>0.37</v>
      </c>
      <c r="D25">
        <f t="shared" si="0"/>
        <v>65.8151586216282</v>
      </c>
      <c r="T25">
        <v>8.6818376936753872</v>
      </c>
      <c r="V25">
        <f>(V23^20*V65)^(1/21)</f>
        <v>5.7991719968057094</v>
      </c>
      <c r="X25">
        <f>(X21^21*X67^2)^(1/23)</f>
        <v>4.0200256365468414</v>
      </c>
      <c r="Z25">
        <f>(Z19^22*Z69^3)^(1/25)</f>
        <v>1.9629347163698945</v>
      </c>
    </row>
    <row r="26" spans="1:26" x14ac:dyDescent="0.25">
      <c r="A26">
        <v>12.5</v>
      </c>
      <c r="B26">
        <v>3.4500000000000003E-2</v>
      </c>
      <c r="C26">
        <v>0.37</v>
      </c>
      <c r="D26">
        <f t="shared" si="0"/>
        <v>64.969646635345455</v>
      </c>
      <c r="S26">
        <v>6.2618178682275927</v>
      </c>
      <c r="U26">
        <f>(U24^19*U64)^(1/20)</f>
        <v>6.8503468526907945</v>
      </c>
      <c r="W26">
        <f>(W22^20*W66^2)^(1/22)</f>
        <v>2.8948856118170929</v>
      </c>
      <c r="Y26">
        <f>(Y20^21*Y68^3)^(1/24)</f>
        <v>2.2938183893426793</v>
      </c>
    </row>
    <row r="27" spans="1:26" x14ac:dyDescent="0.25">
      <c r="A27">
        <v>13</v>
      </c>
      <c r="B27">
        <v>3.4000000000000002E-2</v>
      </c>
      <c r="C27">
        <v>0.35</v>
      </c>
      <c r="D27">
        <f t="shared" si="0"/>
        <v>64.274963545553121</v>
      </c>
      <c r="R27">
        <v>4.4380497177091343</v>
      </c>
      <c r="T27">
        <f>(T25^18*T63)^(1/19)</f>
        <v>4.9310285941911411</v>
      </c>
      <c r="V27">
        <f>(V23^19*V65^2)^(1/21)</f>
        <v>3.2937599172106338</v>
      </c>
      <c r="X27">
        <f>(X21^20*X67^3)^(1/23)</f>
        <v>2.3822182550017681</v>
      </c>
      <c r="Z27">
        <f>(Z19^21*Z69^4)^(1/25)</f>
        <v>1.196578154898867</v>
      </c>
    </row>
    <row r="28" spans="1:26" x14ac:dyDescent="0.25">
      <c r="Q28">
        <v>6.524656134838084</v>
      </c>
      <c r="S28">
        <f>(S26^17*S62)^(1/18)</f>
        <v>3.5565297779615928</v>
      </c>
      <c r="U28">
        <f>(U24^18*U64^2)^(1/20)</f>
        <v>3.8907961456586806</v>
      </c>
      <c r="W28">
        <f>(W22^19*W66^3)^(1/22)</f>
        <v>1.7154691153152839</v>
      </c>
      <c r="Y28">
        <f>(Y20^20*Y68^4)^(1/24)</f>
        <v>1.359285060928185</v>
      </c>
    </row>
    <row r="29" spans="1:26" x14ac:dyDescent="0.25">
      <c r="P29">
        <v>2.2541635169866279</v>
      </c>
      <c r="R29">
        <f>(R27^16*R61)^(1/17)</f>
        <v>2.3820499391638124</v>
      </c>
      <c r="T29">
        <f>(T25^17*T63^2)^(1/19)</f>
        <v>2.8006792864192667</v>
      </c>
      <c r="V29">
        <f>(V23^18*V65^3)^(1/21)</f>
        <v>1.8707592046242372</v>
      </c>
      <c r="X29">
        <f>(X21^19*X67^4)^(1/23)</f>
        <v>1.411673538315642</v>
      </c>
      <c r="Z29">
        <f>(Z19^20*Z69^5)^(1/25)</f>
        <v>0.72941767693071324</v>
      </c>
    </row>
    <row r="30" spans="1:26" x14ac:dyDescent="0.25">
      <c r="O30">
        <v>11.809036203759204</v>
      </c>
      <c r="Q30">
        <f>(Q28^15*Q60)^(1/16)</f>
        <v>3.5020049686149943</v>
      </c>
      <c r="S30">
        <f>(S26^16*S62^2)^(1/18)</f>
        <v>2.0200051051800725</v>
      </c>
      <c r="U30">
        <f>(U24^17*U64^3)^(1/20)</f>
        <v>2.2098581243555819</v>
      </c>
      <c r="W30">
        <f>(W22^18*W66^4)^(1/22)</f>
        <v>1.0165632360697709</v>
      </c>
      <c r="Y30">
        <f>(Y20^19*Y68^5)^(1/24)</f>
        <v>0.80549353228962761</v>
      </c>
    </row>
    <row r="31" spans="1:26" x14ac:dyDescent="0.25">
      <c r="N31">
        <v>7.1223243703311105</v>
      </c>
      <c r="P31">
        <f>(P29^14*P59)^(1/15)</f>
        <v>1.2098846889228847</v>
      </c>
      <c r="R31">
        <f>(R27^15*R61^2)^(1/17)</f>
        <v>1.2785259908262707</v>
      </c>
      <c r="T31">
        <f>(T25^16*T63^3)^(1/19)</f>
        <v>1.5907035044611382</v>
      </c>
      <c r="V31">
        <f>(V23^17*V65^4)^(1/21)</f>
        <v>1.0625364597460134</v>
      </c>
      <c r="X31">
        <f>(X21^18*X67^5)^(1/23)</f>
        <v>0.83654055399685656</v>
      </c>
      <c r="Z31">
        <f>(Z19^19*Z69^6)^(1/25)</f>
        <v>0.44464303918699438</v>
      </c>
    </row>
    <row r="32" spans="1:26" x14ac:dyDescent="0.25">
      <c r="M32">
        <v>5.5676583206851413</v>
      </c>
      <c r="O32">
        <f>(O30^13*O58)^(1/14)</f>
        <v>4.709702567450532</v>
      </c>
      <c r="Q32">
        <f>(Q28^14*Q60^2)^(1/16)</f>
        <v>1.8796452329067377</v>
      </c>
      <c r="S32">
        <f>(S26^15*S62^3)^(1/18)</f>
        <v>1.1473039394294706</v>
      </c>
      <c r="U32">
        <f>(U24^16*U64^4)^(1/20)</f>
        <v>1.2551346169162094</v>
      </c>
      <c r="W32">
        <f>(W22^17*W66^5)^(1/22)</f>
        <v>0.60240129286076793</v>
      </c>
      <c r="Y32">
        <f>(Y20^18*Y68^6)^(1/24)</f>
        <v>0.47732432968650162</v>
      </c>
    </row>
    <row r="33" spans="1:26" x14ac:dyDescent="0.25">
      <c r="L33">
        <v>3.9295227613342694</v>
      </c>
      <c r="N33">
        <f>(N31^12*N57)^(1/13)</f>
        <v>2.8405433592852916</v>
      </c>
      <c r="P33">
        <f>(P29^13*P59^2)^(1/15)</f>
        <v>0.6493854369743618</v>
      </c>
      <c r="R33">
        <f>(R27^14*R61^3)^(1/17)</f>
        <v>0.68622772442466617</v>
      </c>
      <c r="T33">
        <f>(T25^15*T63^4)^(1/19)</f>
        <v>0.90347282938634588</v>
      </c>
      <c r="V33">
        <f>(V23^16*V65^5)^(1/21)</f>
        <v>0.60348960224218717</v>
      </c>
      <c r="X33">
        <f>(X21^17*X67^6)^(1/23)</f>
        <v>0.49572374878992492</v>
      </c>
      <c r="Z33">
        <f>(Z19^18*Z69^7)^(1/25)</f>
        <v>0.27104831504683574</v>
      </c>
    </row>
    <row r="34" spans="1:26" x14ac:dyDescent="0.25">
      <c r="K34">
        <v>0.88775452486010953</v>
      </c>
      <c r="M34">
        <f>(M32^11*M56)^(1/12)</f>
        <v>2.2205072200462248</v>
      </c>
      <c r="O34">
        <f>(O30^12*O58^2)^(1/14)</f>
        <v>1.8783326506179314</v>
      </c>
      <c r="Q34">
        <f>(Q28^13*Q60^3)^(1/16)</f>
        <v>1.0088695570829858</v>
      </c>
      <c r="S34">
        <f>(S26^14*S62^4)^(1/18)</f>
        <v>0.65163514985920823</v>
      </c>
      <c r="U34">
        <f>(U24^15*U64^5)^(1/20)</f>
        <v>0.71287965920472474</v>
      </c>
      <c r="W34">
        <f>(W22^16*W66^6)^(1/22)</f>
        <v>0.3569746620419964</v>
      </c>
      <c r="Y34">
        <f>(Y20^17*Y68^7)^(1/24)</f>
        <v>0.2828557978150783</v>
      </c>
    </row>
    <row r="35" spans="1:26" x14ac:dyDescent="0.25">
      <c r="J35">
        <v>0.75468231655164886</v>
      </c>
      <c r="L35">
        <f>(L33^10*L55)^(1/11)</f>
        <v>1.5671801932822902</v>
      </c>
      <c r="N35">
        <f>(N31^11*N57^2)^(1/13)</f>
        <v>1.1328726629737396</v>
      </c>
      <c r="P35">
        <f>(P29^12*P59^3)^(1/15)</f>
        <v>0.34854680748940459</v>
      </c>
      <c r="R35">
        <f>(R27^13*R61^4)^(1/17)</f>
        <v>0.36832140539022007</v>
      </c>
      <c r="T35">
        <f>(T25^14*T63^5)^(1/19)</f>
        <v>0.51314600813423372</v>
      </c>
      <c r="V35">
        <f>(V23^15*V65^6)^(1/21)</f>
        <v>0.34276442626871451</v>
      </c>
      <c r="X35">
        <f>(X21^16*X67^7)^(1/23)</f>
        <v>0.29375985890967332</v>
      </c>
      <c r="Z35">
        <f>(Z19^17*Z69^8)^(1/25)</f>
        <v>0.16522734556704072</v>
      </c>
    </row>
    <row r="36" spans="1:26" x14ac:dyDescent="0.25">
      <c r="I36">
        <v>0.37308820485827815</v>
      </c>
      <c r="K36">
        <f>(K34^9*K54)^(1/10)</f>
        <v>0.40784110240635019</v>
      </c>
      <c r="M36">
        <f>(M32^10*M56^2)^(1/12)</f>
        <v>0.88558816476918101</v>
      </c>
      <c r="O36">
        <f>(O30^11*O58^3)^(1/14)</f>
        <v>0.74912024609809735</v>
      </c>
      <c r="Q36">
        <f>(Q28^12*Q60^4)^(1/16)</f>
        <v>0.54149462110721658</v>
      </c>
      <c r="S36">
        <f>(S26^13*S62^5)^(1/18)</f>
        <v>0.37010974506301386</v>
      </c>
      <c r="U36">
        <f>(U24^14*U64^6)^(1/20)</f>
        <v>0.40489474328774</v>
      </c>
      <c r="W36">
        <f>(W22^15*W66^7)^(1/22)</f>
        <v>0.21153824012368194</v>
      </c>
      <c r="Y36">
        <f>(Y20^16*Y68^8)^(1/24)</f>
        <v>0.16761643474187018</v>
      </c>
    </row>
    <row r="37" spans="1:26" x14ac:dyDescent="0.25">
      <c r="H37">
        <v>0.31324384352540352</v>
      </c>
      <c r="J37">
        <f>(J35^8*J53)^(1/9)</f>
        <v>0.34670678704202357</v>
      </c>
      <c r="L37">
        <f>(L33^9*L55^2)^(1/11)</f>
        <v>0.62502596559139501</v>
      </c>
      <c r="N37">
        <f>(N31^10*N57^3)^(1/13)</f>
        <v>0.45181513118536881</v>
      </c>
      <c r="P37">
        <f>(P29^11*P59^4)^(1/15)</f>
        <v>0.18707668834872926</v>
      </c>
      <c r="R37">
        <f>(R27^12*R61^5)^(1/17)</f>
        <v>0.19769043546348233</v>
      </c>
      <c r="T37">
        <f>(T25^13*T63^6)^(1/19)</f>
        <v>0.29145184791328993</v>
      </c>
      <c r="V37">
        <f>(V23^14*V65^7)^(1/21)</f>
        <v>0.19468015932472019</v>
      </c>
      <c r="X37">
        <f>(X21^15*X67^8)^(1/23)</f>
        <v>0.17407851634560434</v>
      </c>
      <c r="Z37">
        <f>(Z19^16*Z69^9)^(1/25)</f>
        <v>0.10072032994712758</v>
      </c>
    </row>
    <row r="38" spans="1:26" x14ac:dyDescent="0.25">
      <c r="G38">
        <v>0.13611792371214215</v>
      </c>
      <c r="I38">
        <f>(I36^7*I52)^(1/8)</f>
        <v>0.1713997164477441</v>
      </c>
      <c r="K38">
        <f>(K34^8*K54^2)^(1/10)</f>
        <v>0.18736526838681855</v>
      </c>
      <c r="M38">
        <f>(M32^9*M56^3)^(1/12)</f>
        <v>0.35319245553406475</v>
      </c>
      <c r="O38">
        <f>(O30^10*O58^4)^(1/14)</f>
        <v>0.29876557963758826</v>
      </c>
      <c r="Q38">
        <f>(Q28^11*Q60^5)^(1/16)</f>
        <v>0.2906385891312302</v>
      </c>
      <c r="S38">
        <f>(S26^12*S62^6)^(1/18)</f>
        <v>0.21021153235856774</v>
      </c>
      <c r="U38">
        <f>(U24^13*U64^7)^(1/20)</f>
        <v>0.22996834181653183</v>
      </c>
      <c r="W38">
        <f>(W22^14*W66^8)^(1/22)</f>
        <v>0.12535463099439831</v>
      </c>
      <c r="Y38">
        <f>(Y20^15*Y68^9)^(1/24)</f>
        <v>9.9327181597823846E-2</v>
      </c>
    </row>
    <row r="39" spans="1:26" x14ac:dyDescent="0.25">
      <c r="F39">
        <v>0.10283870951246617</v>
      </c>
      <c r="H39">
        <f>(H37^6*H51)^(1/7)</f>
        <v>0.14390653349332924</v>
      </c>
      <c r="J39">
        <f>(J35^7*J53^2)^(1/9)</f>
        <v>0.15927973074850285</v>
      </c>
      <c r="L39">
        <f>(L33^8*L55^3)^(1/11)</f>
        <v>0.24927411623628662</v>
      </c>
      <c r="N39">
        <f>(N31^9*N57^4)^(1/13)</f>
        <v>0.18019404955204923</v>
      </c>
      <c r="P39">
        <f>(P29^10*P59^5)^(1/15)</f>
        <v>0.10041029374395134</v>
      </c>
      <c r="R39">
        <f>(R27^11*R61^6)^(1/17)</f>
        <v>0.10610707849666286</v>
      </c>
      <c r="T39">
        <f>(T25^12*T63^7)^(1/19)</f>
        <v>0.16553608194463626</v>
      </c>
      <c r="V39">
        <f>(V23^13*V65^8)^(1/21)</f>
        <v>0.1105726310261438</v>
      </c>
      <c r="X39">
        <f>(X21^14*X67^9)^(1/23)</f>
        <v>0.10315680966610433</v>
      </c>
      <c r="Z39">
        <f>(Z19^15*Z69^10)^(1/25)</f>
        <v>6.1397735525213618E-2</v>
      </c>
    </row>
    <row r="40" spans="1:26" x14ac:dyDescent="0.25">
      <c r="E40">
        <v>5.3553805299666662E-2</v>
      </c>
      <c r="G40">
        <f>(G38^5*G50)^(1/6)</f>
        <v>6.7115471716071698E-2</v>
      </c>
      <c r="I40">
        <f>(I36^6*I52^2)^(1/8)</f>
        <v>7.8742405725548456E-2</v>
      </c>
      <c r="K40">
        <f>(K34^7*K54^3)^(1/10)</f>
        <v>8.6077012813404824E-2</v>
      </c>
      <c r="M40">
        <f>(M32^8*M56^4)^(1/12)</f>
        <v>0.14086108600908834</v>
      </c>
      <c r="O40">
        <f>(O30^9*O58^5)^(1/14)</f>
        <v>0.11915426400649627</v>
      </c>
      <c r="Q40">
        <f>(Q28^10*Q60^6)^(1/16)</f>
        <v>0.15599562063879988</v>
      </c>
      <c r="S40">
        <f>(S26^11*S62^7)^(1/18)</f>
        <v>0.11939401468343856</v>
      </c>
      <c r="U40">
        <f>(U24^12*U64^8)^(1/20)</f>
        <v>0.13061527499323938</v>
      </c>
      <c r="W40">
        <f>(W22^13*W66^9)^(1/22)</f>
        <v>7.4283417988890585E-2</v>
      </c>
      <c r="Y40">
        <f>(Y20^14*Y68^10)^(1/24)</f>
        <v>5.8859914419254741E-2</v>
      </c>
    </row>
    <row r="41" spans="1:26" x14ac:dyDescent="0.25">
      <c r="D41">
        <v>4.4248438260588566E-2</v>
      </c>
      <c r="F41">
        <f>(F39^4*F49)^(1/5)</f>
        <v>5.0706574981892266E-2</v>
      </c>
      <c r="H41">
        <f>(H37^5*H51^2)^(1/7)</f>
        <v>6.6111723534599098E-2</v>
      </c>
      <c r="J41">
        <f>(J35^6*J53^3)^(1/9)</f>
        <v>7.3174317825628624E-2</v>
      </c>
      <c r="L41">
        <f>(L33^7*L55^4)^(1/11)</f>
        <v>9.9416005807994895E-2</v>
      </c>
      <c r="N41">
        <f>(N31^8*N57^5)^(1/13)</f>
        <v>7.1865445074358894E-2</v>
      </c>
      <c r="P41">
        <f>(P29^9*P59^6)^(1/15)</f>
        <v>5.3893551242217487E-2</v>
      </c>
      <c r="R41">
        <f>(R27^10*R61^7)^(1/17)</f>
        <v>5.6951223162117558E-2</v>
      </c>
      <c r="T41">
        <f>(T25^11*T63^8)^(1/19)</f>
        <v>9.4019628359789192E-2</v>
      </c>
      <c r="V41">
        <f>(V23^12*V65^9)^(1/21)</f>
        <v>6.2802017290578924E-2</v>
      </c>
      <c r="X41">
        <f>(X21^13*X67^10)^(1/23)</f>
        <v>6.112946964323996E-2</v>
      </c>
      <c r="Z41">
        <f>(Z19^14*Z69^11)^(1/25)</f>
        <v>3.7427219803618073E-2</v>
      </c>
    </row>
    <row r="42" spans="1:26" x14ac:dyDescent="0.25">
      <c r="C42">
        <v>2.7138047854798775E-2</v>
      </c>
      <c r="E42">
        <f>(E40*E40*E40*E48)^(1/4)</f>
        <v>2.6405706729989823E-2</v>
      </c>
      <c r="G42">
        <f>(G38^4*G50^2)^(1/6)</f>
        <v>3.3092530511975519E-2</v>
      </c>
      <c r="I42">
        <f>(I36^5*I52^3)^(1/8)</f>
        <v>3.6174893330918903E-2</v>
      </c>
      <c r="K42">
        <f>(K34^6*K54^4)^(1/10)</f>
        <v>3.9544426769546955E-2</v>
      </c>
      <c r="M42">
        <f>(M32^7*M56^5)^(1/12)</f>
        <v>5.6178565653835368E-2</v>
      </c>
      <c r="O42">
        <f>(O30^8*O58^6)^(1/14)</f>
        <v>4.7521333107221037E-2</v>
      </c>
      <c r="Q42">
        <f>(Q28^9*Q60^7)^(1/16)</f>
        <v>8.3728157816981078E-2</v>
      </c>
      <c r="S42">
        <f>(S26^10*S62^8)^(1/18)</f>
        <v>6.7812315443825585E-2</v>
      </c>
      <c r="U42">
        <f>(U24^11*U64^9)^(1/20)</f>
        <v>7.418564627982685E-2</v>
      </c>
      <c r="W42">
        <f>(W22^12*W66^10)^(1/22)</f>
        <v>4.4019324570137443E-2</v>
      </c>
      <c r="Y42">
        <f>(Y20^13*Y68^11)^(1/24)</f>
        <v>3.4879571429598438E-2</v>
      </c>
    </row>
    <row r="43" spans="1:26" x14ac:dyDescent="0.25">
      <c r="B43">
        <v>1.7444873406268678E-2</v>
      </c>
      <c r="D43">
        <f>(D41*D41*D47)^(1/3)</f>
        <v>2.3749623823403846E-2</v>
      </c>
      <c r="F43">
        <f>(F39^3*F49^2)^(1/5)</f>
        <v>2.5001837912820034E-2</v>
      </c>
      <c r="H43">
        <f>(H37^4*H51^3)^(1/7)</f>
        <v>3.037221370437548E-2</v>
      </c>
      <c r="J43">
        <f>(J35^5*J53^4)^(1/9)</f>
        <v>3.3616837271659185E-2</v>
      </c>
      <c r="L43">
        <f>(L33^6*L55^5)^(1/11)</f>
        <v>3.9649291952344852E-2</v>
      </c>
      <c r="N43">
        <f>(N31^7*N57^6)^(1/13)</f>
        <v>2.8661557962511307E-2</v>
      </c>
      <c r="P43">
        <f>(P29^8*P59^7)^(1/15)</f>
        <v>2.8926465178003621E-2</v>
      </c>
      <c r="R43">
        <f>(R27^9*R61^8)^(1/17)</f>
        <v>3.0567629093315601E-2</v>
      </c>
      <c r="T43">
        <f>(T25^10*T63^9)^(1/19)</f>
        <v>5.3400385058463104E-2</v>
      </c>
      <c r="V43">
        <f>(V23^11*V65^10)^(1/21)</f>
        <v>3.5669707224689574E-2</v>
      </c>
      <c r="X43">
        <f>(X21^12*X67^11)^(1/23)</f>
        <v>3.6224579559595023E-2</v>
      </c>
      <c r="Z43">
        <f>(Z19^13*Z69^12)^(1/25)</f>
        <v>2.2815121278423844E-2</v>
      </c>
    </row>
    <row r="44" spans="1:26" x14ac:dyDescent="0.25">
      <c r="A44">
        <f>B2</f>
        <v>6.6E-3</v>
      </c>
      <c r="C44">
        <f>SQRT(C42*C46)</f>
        <v>1.4565898110192307E-2</v>
      </c>
      <c r="E44">
        <f>(E40*E40*E48*E48)^(1/4)</f>
        <v>1.3019828264464513E-2</v>
      </c>
      <c r="G44">
        <f>(G38^3*G50^3)^(1/6)</f>
        <v>1.6316887115371194E-2</v>
      </c>
      <c r="I44">
        <f>(I36^4*I52^4)^(1/8)</f>
        <v>1.6619036406691469E-2</v>
      </c>
      <c r="K44">
        <f>(K34^5*K54^5)^(1/10)</f>
        <v>1.8167006932756101E-2</v>
      </c>
      <c r="M44">
        <f>(M32^6*M56^6)^(1/12)</f>
        <v>2.240527407774397E-2</v>
      </c>
      <c r="O44">
        <f>(O30^7*O58^7)^(1/14)</f>
        <v>1.8952549613871491E-2</v>
      </c>
      <c r="Q44">
        <f>(Q28^8*Q60^8)^(1/16)</f>
        <v>4.4939751402749535E-2</v>
      </c>
      <c r="S44">
        <f>(S26^9*S62^9)^(1/18)</f>
        <v>3.8515415852674012E-2</v>
      </c>
      <c r="U44">
        <f>(U24^10*U64^10)^(1/20)</f>
        <v>4.2135271806765712E-2</v>
      </c>
      <c r="W44">
        <f>(W22^11*W66^11)^(1/22)</f>
        <v>2.6085242010550722E-2</v>
      </c>
      <c r="Y44">
        <f>(Y20^12*Y68^12)^(1/24)</f>
        <v>2.0669151749810911E-2</v>
      </c>
    </row>
    <row r="45" spans="1:26" x14ac:dyDescent="0.25">
      <c r="B45">
        <v>9.3632385901825065E-3</v>
      </c>
      <c r="D45">
        <f>(D47*D47*D41)^(1/3)</f>
        <v>1.2747221233694426E-2</v>
      </c>
      <c r="F45">
        <f>(F39^2*F49^3)^(1/5)</f>
        <v>1.2327630080362372E-2</v>
      </c>
      <c r="H45">
        <f>(H37^3*H51^4)^(1/7)</f>
        <v>1.3953219126430501E-2</v>
      </c>
      <c r="J45">
        <f>(J35^4*J53^5)^(1/9)</f>
        <v>1.5443830318202305E-2</v>
      </c>
      <c r="L45">
        <f>(L33^5*L55^6)^(1/11)</f>
        <v>1.5813010586629844E-2</v>
      </c>
      <c r="N45">
        <f>(N31^6*N57^7)^(1/13)</f>
        <v>1.1430874796481241E-2</v>
      </c>
      <c r="P45">
        <f>(P29^7*P59^8)^(1/15)</f>
        <v>1.55257979555594E-2</v>
      </c>
      <c r="R45">
        <f>(R27^8*R61^9)^(1/17)</f>
        <v>1.6406670419118224E-2</v>
      </c>
      <c r="T45">
        <f>(T25^9*T63^10)^(1/19)</f>
        <v>3.0329848927713041E-2</v>
      </c>
      <c r="V45">
        <f>(V23^10*V65^11)^(1/21)</f>
        <v>2.0259349434718479E-2</v>
      </c>
      <c r="X45">
        <f>(X21^11*X67^12)^(1/23)</f>
        <v>2.1466244872198764E-2</v>
      </c>
      <c r="Z45">
        <f>(Z19^12*Z69^13)^(1/25)</f>
        <v>1.3907785875638807E-2</v>
      </c>
    </row>
    <row r="46" spans="1:26" x14ac:dyDescent="0.25">
      <c r="C46">
        <v>7.8180047766032296E-3</v>
      </c>
      <c r="E46">
        <f>(E40*E48*E48*E48)^(1/4)</f>
        <v>6.4196701784779084E-3</v>
      </c>
      <c r="G46">
        <f>(G38^2*G50^4)^(1/6)</f>
        <v>8.0453444030041555E-3</v>
      </c>
      <c r="I46">
        <f>(I36^3*I52^5)^(1/8)</f>
        <v>7.6349187421341476E-3</v>
      </c>
      <c r="K46">
        <f>(K34^4*K54^6)^(1/10)</f>
        <v>8.3460595551980918E-3</v>
      </c>
      <c r="M46">
        <f>(M32^5*M56^7)^(1/12)</f>
        <v>8.935726654042013E-3</v>
      </c>
      <c r="O46">
        <f>(O30^6*O58^8)^(1/14)</f>
        <v>7.558692346778439E-3</v>
      </c>
      <c r="Q46">
        <f>(Q28^7*Q60^9)^(1/16)</f>
        <v>2.4120693788050027E-2</v>
      </c>
      <c r="S46">
        <f>(S26^8*S62^10)^(1/18)</f>
        <v>2.1875632008661671E-2</v>
      </c>
      <c r="U46">
        <f>(U24^9*U64^11)^(1/20)</f>
        <v>2.39315988908868E-2</v>
      </c>
      <c r="W46">
        <f>(W22^10*W66^12)^(1/22)</f>
        <v>1.5457753098070206E-2</v>
      </c>
      <c r="Y46">
        <f>(Y20^11*Y68^13)^(1/24)</f>
        <v>1.2248253534852279E-2</v>
      </c>
    </row>
    <row r="47" spans="1:26" x14ac:dyDescent="0.25">
      <c r="D47">
        <v>6.841862018068013E-3</v>
      </c>
      <c r="F47">
        <f>(F39*F49^4)^(1/5)</f>
        <v>6.0783716752411338E-3</v>
      </c>
      <c r="H47">
        <f>(H37^2*H51^5)^(1/7)</f>
        <v>6.4102118431406362E-3</v>
      </c>
      <c r="J47">
        <f>(J35^3*J53^6)^(1/9)</f>
        <v>7.0950129237322117E-3</v>
      </c>
      <c r="L47">
        <f>(L33^4*L55^7)^(1/11)</f>
        <v>6.3065767760344454E-3</v>
      </c>
      <c r="N47">
        <f>(N31^5*N57^8)^(1/13)</f>
        <v>4.5588903012089123E-3</v>
      </c>
      <c r="P47">
        <f>(P29^6*P59^9)^(1/15)</f>
        <v>8.3332132244126698E-3</v>
      </c>
      <c r="R47">
        <f>(R27^7*R61^10)^(1/17)</f>
        <v>8.8060095671741757E-3</v>
      </c>
      <c r="T47">
        <f>(T25^8*T63^11)^(1/19)</f>
        <v>1.7226462598926646E-2</v>
      </c>
      <c r="V47">
        <f>(V23^9*V65^12)^(1/21)</f>
        <v>1.1506717364754046E-2</v>
      </c>
      <c r="X47">
        <f>(X21^10*X67^13)^(1/23)</f>
        <v>1.272063539495643E-2</v>
      </c>
      <c r="Z47">
        <f>(Z19^11*Z69^14)^(1/25)</f>
        <v>8.477996044909954E-3</v>
      </c>
    </row>
    <row r="48" spans="1:26" x14ac:dyDescent="0.25">
      <c r="E48">
        <v>3.165338617631421E-3</v>
      </c>
      <c r="G48">
        <f>(G38*G50^5)^(1/6)</f>
        <v>3.9669065616059979E-3</v>
      </c>
      <c r="I48">
        <f>(I36^2*I52^6)^(1/8)</f>
        <v>3.507542962931395E-3</v>
      </c>
      <c r="K48">
        <f>(K34^3*K54^7)^(1/10)</f>
        <v>3.8342425010758669E-3</v>
      </c>
      <c r="M48">
        <f>(M32^4*M56^8)^(1/12)</f>
        <v>3.563768537653026E-3</v>
      </c>
      <c r="O48">
        <f>(O30^5*O58^9)^(1/14)</f>
        <v>3.0145722426406572E-3</v>
      </c>
      <c r="Q48">
        <f>(Q28^6*Q60^10)^(1/16)</f>
        <v>1.294639713519374E-2</v>
      </c>
      <c r="S48">
        <f>(S26^7*S62^11)^(1/18)</f>
        <v>1.2424720470599801E-2</v>
      </c>
      <c r="U48">
        <f>(U24^8*U64^12)^(1/20)</f>
        <v>1.3592446444888757E-2</v>
      </c>
      <c r="W48">
        <f>(W22^9*W66^13)^(1/22)</f>
        <v>9.1600503742404922E-3</v>
      </c>
      <c r="Y48">
        <f>(Y20^10*Y68^14)^(1/24)</f>
        <v>7.2581456883151346E-3</v>
      </c>
    </row>
    <row r="49" spans="1:26" x14ac:dyDescent="0.25">
      <c r="F49">
        <v>2.9970563670002385E-3</v>
      </c>
      <c r="H49">
        <f>(H37*H51^6)^(1/7)</f>
        <v>2.9448986288838058E-3</v>
      </c>
      <c r="J49">
        <f>(J35^2*J53^7)^(1/9)</f>
        <v>3.2595028144408343E-3</v>
      </c>
      <c r="L49">
        <f>(L33^3*L55^8)^(1/11)</f>
        <v>2.5152016697975099E-3</v>
      </c>
      <c r="N49">
        <f>(N31^4*N57^9)^(1/13)</f>
        <v>1.8181881219497282E-3</v>
      </c>
      <c r="P49">
        <f>(P29^5*P59^10)^(1/15)</f>
        <v>4.4727132764638741E-3</v>
      </c>
      <c r="R49">
        <f>(R27^6*R61^11)^(1/17)</f>
        <v>4.7264802983304358E-3</v>
      </c>
      <c r="T49">
        <f>(T25^7*T63^12)^(1/19)</f>
        <v>9.7841243581358699E-3</v>
      </c>
      <c r="V49">
        <f>(V23^8*V65^13)^(1/21)</f>
        <v>6.5354785916980291E-3</v>
      </c>
      <c r="X49">
        <f>(X21^9*X67^14)^(1/23)</f>
        <v>7.5380936821878271E-3</v>
      </c>
      <c r="Z49">
        <f>(Z19^10*Z69^15)^(1/25)</f>
        <v>5.168070430492405E-3</v>
      </c>
    </row>
    <row r="50" spans="1:26" x14ac:dyDescent="0.25">
      <c r="G50">
        <v>1.9559569957796584E-3</v>
      </c>
      <c r="I50">
        <f>(I36*I52^7)^(1/8)</f>
        <v>1.6113933955727469E-3</v>
      </c>
      <c r="K50">
        <f>(K34^2*K54^8)^(1/10)</f>
        <v>1.761479828873276E-3</v>
      </c>
      <c r="M50">
        <f>(M32^3*M56^9)^(1/12)</f>
        <v>1.4213109556367883E-3</v>
      </c>
      <c r="O50">
        <f>(O30^4*O58^10)^(1/10)</f>
        <v>8.16594803635804E-5</v>
      </c>
      <c r="Q50">
        <f>(Q28^5*Q60^11)^(1/16)</f>
        <v>6.9487718825563078E-3</v>
      </c>
      <c r="S50">
        <f>(S26^6*S62^12)^(1/18)</f>
        <v>7.056878572075884E-3</v>
      </c>
      <c r="U50">
        <f>(U24^7*U64^13)^(1/20)</f>
        <v>7.7201110213962415E-3</v>
      </c>
      <c r="W50">
        <f>(W22^8*W66^14)^(1/22)</f>
        <v>5.428118972161518E-3</v>
      </c>
      <c r="Y50">
        <f>(Y20^9*Y68^15)^(1/24)</f>
        <v>4.3010767766118816E-3</v>
      </c>
    </row>
    <row r="51" spans="1:26" x14ac:dyDescent="0.25">
      <c r="H51">
        <v>1.3529081638201706E-3</v>
      </c>
      <c r="J51">
        <f>(J35*J53^8)^(1/9)</f>
        <v>1.4974403445848787E-3</v>
      </c>
      <c r="L51">
        <f>(L33^2*L55^9)^(1/11)</f>
        <v>1.0031178029565016E-3</v>
      </c>
      <c r="N51">
        <f>(N31^3*N57^10)^(1/13)</f>
        <v>7.2513437007300935E-4</v>
      </c>
      <c r="P51">
        <f>(P29^4*P59^11)^(1/15)</f>
        <v>2.4006542872141851E-3</v>
      </c>
      <c r="R51">
        <f>(R27^5*R61^12)^(1/17)</f>
        <v>2.5368602929731437E-3</v>
      </c>
      <c r="T51">
        <f>(T25^6*T63^13)^(1/19)</f>
        <v>5.5570950162125848E-3</v>
      </c>
      <c r="V51">
        <f>(V23^7*V65^14)^(1/21)</f>
        <v>3.7119605069448284E-3</v>
      </c>
      <c r="X51">
        <f>(X21^8*X67^15)^(1/23)</f>
        <v>4.4669825521427581E-3</v>
      </c>
      <c r="Z51">
        <f>(Z19^9*Z69^16)^(1/25)</f>
        <v>3.1503850477219261E-3</v>
      </c>
    </row>
    <row r="52" spans="1:26" x14ac:dyDescent="0.25">
      <c r="I52">
        <v>7.402870621220825E-4</v>
      </c>
      <c r="K52">
        <f>(K34*K54^9)^(1/10)</f>
        <v>8.0923707529108931E-4</v>
      </c>
      <c r="M52">
        <f>(M32^2*M56^10)^(1/12)</f>
        <v>5.6685073995954517E-4</v>
      </c>
      <c r="O52">
        <f>(O30^3*O58^11)^(1/14)</f>
        <v>4.7949463218648997E-4</v>
      </c>
      <c r="Q52">
        <f>(Q28^4*Q60^12)^(1/16)</f>
        <v>3.7296423222291757E-3</v>
      </c>
      <c r="S52">
        <f>(S26^5*S62^13)^(1/18)</f>
        <v>4.0081010513566637E-3</v>
      </c>
      <c r="U52">
        <f>(U24^6*U64^14)^(1/20)</f>
        <v>4.3847966901569384E-3</v>
      </c>
      <c r="W52">
        <f>(W22^7*W66^15)^(1/22)</f>
        <v>3.2166281158014782E-3</v>
      </c>
      <c r="Y52">
        <f>(Y20^8*Y68^16)^(1/24)</f>
        <v>2.5487586268889578E-3</v>
      </c>
    </row>
    <row r="53" spans="1:26" x14ac:dyDescent="0.25">
      <c r="J53">
        <v>6.8793546538941893E-4</v>
      </c>
      <c r="L53">
        <f>(L33*L55^10)^(1/11)</f>
        <v>4.0006546540233859E-4</v>
      </c>
      <c r="N53">
        <f>(N31^2*N57^11)^(1/13)</f>
        <v>2.8919991738661223E-4</v>
      </c>
      <c r="P53">
        <f>(P29^3*P59^12)^(1/15)</f>
        <v>1.2885111677170106E-3</v>
      </c>
      <c r="R53">
        <f>(R27^4*R61^13)^(1/17)</f>
        <v>1.3616178931999555E-3</v>
      </c>
      <c r="T53">
        <f>(T25^5*T63^14)^(1/19)</f>
        <v>3.1562666099532698E-3</v>
      </c>
      <c r="V53">
        <f>(V23^6*V65^15)^(1/21)</f>
        <v>2.1082848963228209E-3</v>
      </c>
      <c r="X53">
        <f>(X21^7*X67^16)^(1/23)</f>
        <v>2.6470794822168508E-3</v>
      </c>
      <c r="Z53">
        <f>(Z19^8*Z69^17)^(1/25)</f>
        <v>1.9204316354419831E-3</v>
      </c>
    </row>
    <row r="54" spans="1:26" x14ac:dyDescent="0.25">
      <c r="K54">
        <v>3.7176959582021363E-4</v>
      </c>
      <c r="M54">
        <f>(M32*M56^11)^(1/12)</f>
        <v>2.2607280983683365E-4</v>
      </c>
      <c r="O54">
        <f>(O30^2*O58^12)^(1/14)</f>
        <v>1.9123297289651617E-4</v>
      </c>
      <c r="Q54">
        <f>(Q28^3*Q60^13)^(1/16)</f>
        <v>2.0018259466370292E-3</v>
      </c>
      <c r="S54">
        <f>(S26^4*S62^12)^(1/18)</f>
        <v>5.7555969583718445E-3</v>
      </c>
      <c r="U54">
        <f>(U24^5*U64^15)^(1/20)</f>
        <v>2.4904359484889862E-3</v>
      </c>
      <c r="W54">
        <f>(W22^6*W66^16)^(1/22)</f>
        <v>1.9061292665890931E-3</v>
      </c>
      <c r="Y54">
        <f>(Y20^7*Y68^14)^(1/24)</f>
        <v>5.3769700837576102E-3</v>
      </c>
    </row>
    <row r="55" spans="1:26" x14ac:dyDescent="0.25">
      <c r="L55">
        <v>1.5955491581932384E-4</v>
      </c>
      <c r="N55">
        <f>(N31*N57^12)^(1/13)</f>
        <v>1.1533944006543559E-4</v>
      </c>
      <c r="P55">
        <f>(P29^2*P59^13)^(1/15)</f>
        <v>6.9158688869695067E-4</v>
      </c>
      <c r="R55">
        <f>(R27^3*R61^14)^(1/17)</f>
        <v>7.3082593165169389E-4</v>
      </c>
      <c r="T55">
        <f>(T25^4*T63^15)^(1/19)</f>
        <v>1.7926666511985411E-3</v>
      </c>
      <c r="V55">
        <f>(V23^5*V65^16)^(1/21)</f>
        <v>1.1974440988116355E-3</v>
      </c>
      <c r="X55">
        <f>(X21^6*X67^17)^(1/23)</f>
        <v>1.5686270773124548E-3</v>
      </c>
      <c r="Z55">
        <f>(Z19^7*Z69^18)^(1/25)</f>
        <v>1.1706688581045802E-3</v>
      </c>
    </row>
    <row r="56" spans="1:26" x14ac:dyDescent="0.25">
      <c r="M56">
        <v>9.016291546372251E-5</v>
      </c>
      <c r="O56">
        <f>(O30*O58^13)^(1/14)</f>
        <v>7.6267902637576181E-5</v>
      </c>
      <c r="Q56">
        <f>(Q28^2*Q60^14)^(1/16)</f>
        <v>1.0744481037082668E-3</v>
      </c>
      <c r="S56">
        <f>(S26^3*S62^15)^(1/18)</f>
        <v>1.2929766972142485E-3</v>
      </c>
      <c r="U56">
        <f>(U24^4*U64^16)^(1/20)</f>
        <v>1.4144945938882878E-3</v>
      </c>
      <c r="W56">
        <f>(W22^5*W66^17)^(1/22)</f>
        <v>1.129545800802703E-3</v>
      </c>
      <c r="Y56">
        <f>(Y20^6*Y68^18)^(1/24)</f>
        <v>8.9501793117752497E-4</v>
      </c>
    </row>
    <row r="57" spans="1:26" x14ac:dyDescent="0.25">
      <c r="N57">
        <v>4.5999966233821738E-5</v>
      </c>
      <c r="P57">
        <f>(P29*P59^14)^(1/15)</f>
        <v>3.7119773316747376E-4</v>
      </c>
      <c r="R57">
        <f>(R27^2*R61^15)^(1/17)</f>
        <v>3.9225875705801381E-4</v>
      </c>
      <c r="T57">
        <f>(T25^3*T63^16)^(1/19)</f>
        <v>1.0181819597194829E-3</v>
      </c>
      <c r="V57">
        <f>(V23^4*V65^17)^(1/21)</f>
        <v>6.8011319166575064E-4</v>
      </c>
      <c r="X57">
        <f>(X21^5*X67^18)^(1/23)</f>
        <v>9.2954931055456687E-4</v>
      </c>
      <c r="Z57">
        <f>(Z19^6*Z69^19)^(1/25)</f>
        <v>7.1362372398144319E-4</v>
      </c>
    </row>
    <row r="58" spans="1:26" x14ac:dyDescent="0.25">
      <c r="O58">
        <v>3.0417311850726249E-5</v>
      </c>
      <c r="Q58">
        <f>(Q28*Q60^15)^(1/16)</f>
        <v>5.7669285858827617E-4</v>
      </c>
      <c r="S58">
        <f>(S26^2*S62^16)^(1/18)</f>
        <v>7.3437302435538693E-4</v>
      </c>
      <c r="U58">
        <f>(U24^3*U64^17)^(1/20)</f>
        <v>8.0339145335302686E-4</v>
      </c>
      <c r="W58">
        <f>(W22^4*W66^18)^(1/22)</f>
        <v>6.6935319575367588E-4</v>
      </c>
      <c r="Y58">
        <f>(Y20^5*Y68^19)^(1/24)</f>
        <v>5.3037525061479934E-4</v>
      </c>
    </row>
    <row r="59" spans="1:26" x14ac:dyDescent="0.25">
      <c r="C59">
        <v>100</v>
      </c>
      <c r="E59">
        <f>0.5*LN(B43/B45)/SQRT(0.5)</f>
        <v>0.44000043597732508</v>
      </c>
      <c r="F59">
        <f>(E59-C3)^2*1000</f>
        <v>1.9007622797959953E-10</v>
      </c>
      <c r="P59">
        <v>1.9923419509627034E-4</v>
      </c>
      <c r="R59">
        <f>(R27*R61^16)^(1/17)</f>
        <v>2.1053841390240884E-4</v>
      </c>
      <c r="T59">
        <f>(T25^2*T63^17)^(1/19)</f>
        <v>5.7829742211419741E-4</v>
      </c>
      <c r="V59">
        <f>(V23^3*V65^18)^(1/21)</f>
        <v>3.8628438182360304E-4</v>
      </c>
      <c r="X59">
        <f>(X21^4*X67^19)^(1/23)</f>
        <v>5.5083960569702543E-4</v>
      </c>
      <c r="Z59">
        <f>(Z19^5*Z69^20)^(1/25)</f>
        <v>4.3501526149220302E-4</v>
      </c>
    </row>
    <row r="60" spans="1:26" x14ac:dyDescent="0.25">
      <c r="B60">
        <f>0.5*(C59+C61)*EXP(-B43*0.5)</f>
        <v>99.131549338683627</v>
      </c>
      <c r="F60">
        <f>(A61-D3)^2*1000</f>
        <v>1.6629551438264981E-9</v>
      </c>
      <c r="Q60">
        <v>3.0953068091320123E-4</v>
      </c>
      <c r="S60">
        <f>(S26*S62^17)^(1/18)</f>
        <v>4.1710244280722376E-4</v>
      </c>
      <c r="U60">
        <f>(U24^2*U64^18)^(1/20)</f>
        <v>4.5630278836658697E-4</v>
      </c>
      <c r="W60">
        <f>(W22^3*W66^19)^(1/22)</f>
        <v>3.9664943231807604E-4</v>
      </c>
      <c r="Y60">
        <f>(Y20^4*Y68^20)^(1/24)</f>
        <v>3.1429304002281134E-4</v>
      </c>
    </row>
    <row r="61" spans="1:26" x14ac:dyDescent="0.25">
      <c r="A61">
        <f>0.5*(B60+B62)*EXP(-A44*0.5)</f>
        <v>99.004984664472985</v>
      </c>
      <c r="C61">
        <v>100</v>
      </c>
      <c r="F61">
        <f>F59+F60</f>
        <v>1.8530313718060976E-9</v>
      </c>
      <c r="R61">
        <v>1.1300301887711908E-4</v>
      </c>
      <c r="T61">
        <f>(T25*T63^18)^(1/19)</f>
        <v>3.2845593582905727E-4</v>
      </c>
      <c r="V61">
        <f>(V23^2*V65^19)^(1/21)</f>
        <v>2.1939821998655882E-4</v>
      </c>
      <c r="X61">
        <f>(X21^3*X67^20)^(1/23)</f>
        <v>3.2642084476769981E-4</v>
      </c>
      <c r="Z61">
        <f>(Z19^4*Z69^21)^(1/25)</f>
        <v>2.6517935344880808E-4</v>
      </c>
    </row>
    <row r="62" spans="1:26" x14ac:dyDescent="0.25">
      <c r="B62">
        <f>0.5*(C61+C63)*EXP(-B45*0.5)</f>
        <v>99.532932240290648</v>
      </c>
      <c r="S62">
        <v>2.3690201304502314E-4</v>
      </c>
      <c r="U62">
        <f>(U24*U64^19)^(1/20)</f>
        <v>2.5916660402862076E-4</v>
      </c>
      <c r="W62">
        <f>(W22^2*W66^20)^(1/22)</f>
        <v>2.3504895943777688E-4</v>
      </c>
      <c r="Y62">
        <f>(Y20^3*Y68^21)^(1/24)</f>
        <v>1.8624570979184393E-4</v>
      </c>
    </row>
    <row r="63" spans="1:26" x14ac:dyDescent="0.25">
      <c r="C63">
        <v>100</v>
      </c>
      <c r="T63">
        <v>1.8655331608937679E-4</v>
      </c>
      <c r="V63">
        <f>(V23*V65^20)^(1/21)</f>
        <v>1.246117658343527E-4</v>
      </c>
      <c r="X63">
        <f>(X21^2*X67^21)^(1/23)</f>
        <v>1.9343301897115959E-4</v>
      </c>
      <c r="Z63">
        <f>(Z19^3*Z69^22)^(1/25)</f>
        <v>1.6164970685008555E-4</v>
      </c>
    </row>
    <row r="64" spans="1:26" x14ac:dyDescent="0.25">
      <c r="U64">
        <v>1.4719903177485476E-4</v>
      </c>
      <c r="W64">
        <f>(W22*W66^21)^(1/22)</f>
        <v>1.3928675760331824E-4</v>
      </c>
      <c r="Y64">
        <f>(Y20^2*Y68^22)^(1/24)</f>
        <v>1.1036663240570055E-4</v>
      </c>
    </row>
    <row r="65" spans="1:26" x14ac:dyDescent="0.25">
      <c r="D65">
        <v>100</v>
      </c>
      <c r="F65">
        <f>0.5*LN(C42/C44)/SQRT(0.5)</f>
        <v>0.43999979135941386</v>
      </c>
      <c r="G65">
        <f>(F65-C4)^2*10000</f>
        <v>4.3530894185355526E-10</v>
      </c>
      <c r="V65">
        <v>7.0775834850924664E-5</v>
      </c>
      <c r="X65">
        <f>(X21*X67^22)^(1/23)</f>
        <v>1.1462605231269664E-4</v>
      </c>
      <c r="Z65">
        <f>(Z19*Z69^23)^(1/25)</f>
        <v>9.0385367207030214E-5</v>
      </c>
    </row>
    <row r="66" spans="1:26" x14ac:dyDescent="0.25">
      <c r="C66">
        <f>0.5*(D65+D67)*EXP(-C42*0.5)</f>
        <v>98.652262030191082</v>
      </c>
      <c r="G66">
        <f>(D4-A68)^2*10000</f>
        <v>4.0872560103523542E-11</v>
      </c>
      <c r="W66" s="1">
        <v>8.2539403237738654E-5</v>
      </c>
      <c r="Y66">
        <f>(Y20*Y68^23)^(1/24)</f>
        <v>6.5401740325663342E-5</v>
      </c>
    </row>
    <row r="67" spans="1:26" x14ac:dyDescent="0.25">
      <c r="B67">
        <f>0.5*(C66+C68)*EXP(-B43*0.5)</f>
        <v>98.103858893980373</v>
      </c>
      <c r="D67">
        <v>100</v>
      </c>
      <c r="G67">
        <f>G65+G66</f>
        <v>4.7618150195707879E-10</v>
      </c>
      <c r="X67" s="1">
        <v>6.7926003216400575E-5</v>
      </c>
      <c r="Z67">
        <f>(Z19*Z69^24)^(1/25)</f>
        <v>6.0068301132894785E-5</v>
      </c>
    </row>
    <row r="68" spans="1:26" x14ac:dyDescent="0.25">
      <c r="A68">
        <f>0.5*(B67+B69)*EXP(-A44*0.5)</f>
        <v>98.216103299761727</v>
      </c>
      <c r="C68">
        <f>0.5*(D67+D69)*EXP(-C44*0.5)</f>
        <v>99.274350735252256</v>
      </c>
      <c r="Y68" s="1">
        <v>3.8756167007996557E-5</v>
      </c>
    </row>
    <row r="69" spans="1:26" x14ac:dyDescent="0.25">
      <c r="B69">
        <f>0.5*(C68+C70)*EXP(-B45*0.5)</f>
        <v>98.977644738188431</v>
      </c>
      <c r="D69">
        <v>100</v>
      </c>
      <c r="Z69">
        <v>3.6616814781508237E-5</v>
      </c>
    </row>
    <row r="70" spans="1:26" x14ac:dyDescent="0.25">
      <c r="C70">
        <f>0.5*(D69+D71)*EXP(-C46*0.5)</f>
        <v>99.609862781613401</v>
      </c>
    </row>
    <row r="71" spans="1:26" x14ac:dyDescent="0.25">
      <c r="D71">
        <v>100</v>
      </c>
    </row>
    <row r="73" spans="1:26" x14ac:dyDescent="0.25">
      <c r="E73">
        <v>100</v>
      </c>
      <c r="G73">
        <f>0.5*LN(D41/D43)/SQRT(0.5)</f>
        <v>0.43999958881760964</v>
      </c>
      <c r="H73">
        <f>(G73-C5)^2*10000</f>
        <v>1.6907095814095721E-9</v>
      </c>
    </row>
    <row r="74" spans="1:26" x14ac:dyDescent="0.25">
      <c r="D74">
        <f>0.5*(E73+E75)*EXP(-0.5*D41)</f>
        <v>97.811872644699591</v>
      </c>
      <c r="H74">
        <f>(D5-A77)^2*10000</f>
        <v>2.3761797152130768E-9</v>
      </c>
    </row>
    <row r="75" spans="1:26" x14ac:dyDescent="0.25">
      <c r="C75">
        <f>0.5*(D74+D76)*EXP(-0.5*C42)</f>
        <v>96.990668978253225</v>
      </c>
      <c r="E75">
        <v>100</v>
      </c>
      <c r="H75">
        <f>H73+H74</f>
        <v>4.0668892966226484E-9</v>
      </c>
    </row>
    <row r="76" spans="1:26" x14ac:dyDescent="0.25">
      <c r="B76">
        <f>0.5*(C75+C77)*EXP(-0.5*B43)</f>
        <v>96.833537035233292</v>
      </c>
      <c r="D76">
        <f>0.5*(E75+E77)*EXP(-0.5*D43)</f>
        <v>98.819541541364657</v>
      </c>
    </row>
    <row r="77" spans="1:26" x14ac:dyDescent="0.25">
      <c r="A77">
        <f>0.5*(B76+B78)*EXP(-0.5*A44)</f>
        <v>97.23883716758543</v>
      </c>
      <c r="C77">
        <f>0.5*(D76+D78)*EXP(-0.5*C44)</f>
        <v>98.373042536838369</v>
      </c>
      <c r="E77">
        <v>100</v>
      </c>
    </row>
    <row r="78" spans="1:26" x14ac:dyDescent="0.25">
      <c r="B78">
        <f>0.5*(C77+C79)*EXP(-0.5*B45)</f>
        <v>98.286973721966035</v>
      </c>
      <c r="D78">
        <f>0.5*(E77+E79)*EXP(-0.5*D45)</f>
        <v>99.364665775553448</v>
      </c>
    </row>
    <row r="79" spans="1:26" x14ac:dyDescent="0.25">
      <c r="C79">
        <f>0.5*(D78+D80)*EXP(-0.5*C46)</f>
        <v>99.123346868596514</v>
      </c>
      <c r="E79">
        <v>100</v>
      </c>
    </row>
    <row r="80" spans="1:26" x14ac:dyDescent="0.25">
      <c r="D80">
        <f>0.5*(E79+E81)*EXP(-0.5*D47)</f>
        <v>99.658491370875851</v>
      </c>
    </row>
    <row r="81" spans="1:9" x14ac:dyDescent="0.25">
      <c r="E81">
        <v>100</v>
      </c>
    </row>
    <row r="84" spans="1:9" x14ac:dyDescent="0.25">
      <c r="F84">
        <v>100</v>
      </c>
      <c r="H84">
        <f>0.5*LN(E40/E42)/SQRT(0.5)</f>
        <v>0.4999999455953989</v>
      </c>
      <c r="I84">
        <f>(H84-C6)^2*10000</f>
        <v>2.9598606210627219E-11</v>
      </c>
    </row>
    <row r="85" spans="1:9" x14ac:dyDescent="0.25">
      <c r="E85">
        <f>0.5*(F84+F86)*EXP(-E40*0.5)</f>
        <v>97.357842006315337</v>
      </c>
      <c r="I85">
        <f>(D6-A89)^2*10000</f>
        <v>2.0801292803539188E-12</v>
      </c>
    </row>
    <row r="86" spans="1:9" x14ac:dyDescent="0.25">
      <c r="D86">
        <f>0.5*(E85+E87)*EXP(-D41*0.5)</f>
        <v>95.878246462796497</v>
      </c>
      <c r="F86">
        <v>100</v>
      </c>
      <c r="I86">
        <f>I84+I85</f>
        <v>3.1678735490981138E-11</v>
      </c>
    </row>
    <row r="87" spans="1:9" x14ac:dyDescent="0.25">
      <c r="C87">
        <f>0.5*(D86+D88)*EXP(-C42*0.5)</f>
        <v>95.559078031743994</v>
      </c>
      <c r="E87">
        <f>0.5*(F86+F88)*EXP(-E42*0.5)</f>
        <v>98.688392198959562</v>
      </c>
    </row>
    <row r="88" spans="1:9" x14ac:dyDescent="0.25">
      <c r="B88">
        <f>0.5*(C87+C89)*EXP(-B43*0.5)</f>
        <v>95.767148521028773</v>
      </c>
      <c r="D88">
        <f>0.5*(E87+E89)*EXP(-D43*0.5)</f>
        <v>97.850870468145331</v>
      </c>
      <c r="F88">
        <v>100</v>
      </c>
    </row>
    <row r="89" spans="1:9" x14ac:dyDescent="0.25">
      <c r="A89">
        <f>0.5*(B88+B90)*EXP(-A44*0.5)</f>
        <v>96.439916369647605</v>
      </c>
      <c r="C89">
        <f>0.5*(D88+D90)*EXP(-C44*0.5)</f>
        <v>97.653172074102031</v>
      </c>
      <c r="E89">
        <f>0.5*(F88+F90)*EXP(-E44*0.5)</f>
        <v>99.351122945291834</v>
      </c>
    </row>
    <row r="90" spans="1:9" x14ac:dyDescent="0.25">
      <c r="B90">
        <f>0.5*(C89+C91)*EXP(-B45*0.5)</f>
        <v>97.750239053202847</v>
      </c>
      <c r="D90">
        <f>0.5*(E89+E91)*EXP(-D45*0.5)</f>
        <v>98.883072087724656</v>
      </c>
      <c r="F90">
        <v>100</v>
      </c>
    </row>
    <row r="91" spans="1:9" x14ac:dyDescent="0.25">
      <c r="C91">
        <f>0.5*(D90+D92)*EXP(-C46*0.5)</f>
        <v>98.764710636749783</v>
      </c>
      <c r="E91">
        <f>0.5*(F90+F92)*EXP(-E46*0.5)</f>
        <v>99.679531092398733</v>
      </c>
    </row>
    <row r="92" spans="1:9" x14ac:dyDescent="0.25">
      <c r="D92">
        <f>0.5*(E91+E93)*EXP(-D47*0.5)</f>
        <v>99.420003288020922</v>
      </c>
      <c r="F92">
        <v>100</v>
      </c>
    </row>
    <row r="93" spans="1:9" x14ac:dyDescent="0.25">
      <c r="E93">
        <f>0.5*(F92+F94)*EXP(-E48*0.5)</f>
        <v>99.841858245179338</v>
      </c>
    </row>
    <row r="94" spans="1:9" x14ac:dyDescent="0.25">
      <c r="F94">
        <v>100</v>
      </c>
    </row>
    <row r="97" spans="1:11" x14ac:dyDescent="0.25">
      <c r="G97">
        <v>100</v>
      </c>
      <c r="I97">
        <f>0.5*LN(F39/F41)/SQRT(0.5)</f>
        <v>0.49999962267688602</v>
      </c>
      <c r="J97">
        <f>(I97-C7)^2*10000</f>
        <v>1.4237273234044685E-9</v>
      </c>
    </row>
    <row r="98" spans="1:11" x14ac:dyDescent="0.25">
      <c r="F98">
        <f>0.5*(G97+G99)*EXP(-F39*0.5)</f>
        <v>94.988025019776217</v>
      </c>
      <c r="J98">
        <f>(A103-D7)^2*10000</f>
        <v>1.9784605727886036E-10</v>
      </c>
    </row>
    <row r="99" spans="1:11" x14ac:dyDescent="0.25">
      <c r="E99">
        <f>0.5*(F98+F100)*EXP(-E40*0.5)</f>
        <v>93.699409743288115</v>
      </c>
      <c r="G99">
        <v>100</v>
      </c>
      <c r="J99">
        <f>J97+J98</f>
        <v>1.6215733806833289E-9</v>
      </c>
    </row>
    <row r="100" spans="1:11" x14ac:dyDescent="0.25">
      <c r="D100">
        <f>0.5*(E99+E101)*EXP(-D41*0.5)</f>
        <v>93.185117686815019</v>
      </c>
      <c r="F100">
        <f>0.5*(G99+G101)*EXP(-F41*0.5)</f>
        <v>97.496540809466566</v>
      </c>
    </row>
    <row r="101" spans="1:11" x14ac:dyDescent="0.25">
      <c r="C101">
        <f>0.5*(D100+D102)*EXP(-C42*0.5)</f>
        <v>93.555390220715026</v>
      </c>
      <c r="E101">
        <f>0.5*(F100+F102)*EXP(-E42*0.5)</f>
        <v>96.840072156437486</v>
      </c>
      <c r="G101">
        <v>100</v>
      </c>
    </row>
    <row r="102" spans="1:11" x14ac:dyDescent="0.25">
      <c r="B102">
        <f>0.5*(C101+C103)*EXP(-B43*0.5)</f>
        <v>94.268523762483028</v>
      </c>
      <c r="D102">
        <f>0.5*(E101+E103)*EXP(-D43*0.5)</f>
        <v>96.481876856267547</v>
      </c>
      <c r="F102">
        <f>0.5*(G101+G103)*EXP(-F43*0.5)</f>
        <v>98.757689295334828</v>
      </c>
    </row>
    <row r="103" spans="1:11" x14ac:dyDescent="0.25">
      <c r="A103">
        <f>0.5*(B102+B104)*EXP(-A44*0.5)</f>
        <v>95.313378848408234</v>
      </c>
      <c r="C103">
        <f>0.5*(D102+D104)*EXP(-C44*0.5)</f>
        <v>96.63335269989436</v>
      </c>
      <c r="E103">
        <f>0.5*(F102+F104)*EXP(-E44*0.5)</f>
        <v>98.428748870993459</v>
      </c>
      <c r="G103">
        <v>100</v>
      </c>
    </row>
    <row r="104" spans="1:11" x14ac:dyDescent="0.25">
      <c r="B104">
        <f>0.5*(C103+C105)*EXP(-B45*0.5)</f>
        <v>96.988341340130162</v>
      </c>
      <c r="D104">
        <f>0.5*(E103+E105)*EXP(-D45*0.5)</f>
        <v>98.197518141941018</v>
      </c>
      <c r="F104">
        <f>0.5*(G103+G105)*EXP(-F45*0.5)</f>
        <v>99.385514229790331</v>
      </c>
    </row>
    <row r="105" spans="1:11" x14ac:dyDescent="0.25">
      <c r="C105">
        <f>0.5*(D104+D106)*EXP(-C46*0.5)</f>
        <v>98.253584029715142</v>
      </c>
      <c r="E105">
        <f>0.5*(F104+F106)*EXP(-E46*0.5)</f>
        <v>99.222030458856452</v>
      </c>
      <c r="G105">
        <v>100</v>
      </c>
    </row>
    <row r="106" spans="1:11" x14ac:dyDescent="0.25">
      <c r="D106">
        <f>0.5*(E105+E107)*EXP(-D47*0.5)</f>
        <v>99.079300209125691</v>
      </c>
      <c r="F106">
        <f>0.5*(G105+G107)*EXP(-F47*0.5)</f>
        <v>99.696542781256028</v>
      </c>
    </row>
    <row r="107" spans="1:11" x14ac:dyDescent="0.25">
      <c r="E107">
        <f>0.5*(F106+F108)*EXP(-E48*0.5)</f>
        <v>99.615617685756263</v>
      </c>
      <c r="G107">
        <v>100</v>
      </c>
    </row>
    <row r="108" spans="1:11" x14ac:dyDescent="0.25">
      <c r="F108">
        <f>0.5*(G107+G109)*EXP(-F49*0.5)</f>
        <v>99.850259404922241</v>
      </c>
    </row>
    <row r="109" spans="1:11" x14ac:dyDescent="0.25">
      <c r="G109">
        <v>100</v>
      </c>
    </row>
    <row r="112" spans="1:11" x14ac:dyDescent="0.25">
      <c r="H112">
        <v>100</v>
      </c>
      <c r="J112">
        <f>0.5*LN(G38/G40)/SQRT(0.5)</f>
        <v>0.50000015597128455</v>
      </c>
      <c r="K112">
        <f>(C8-J112)^2*100000</f>
        <v>2.4327041605570851E-9</v>
      </c>
    </row>
    <row r="113" spans="1:11" x14ac:dyDescent="0.25">
      <c r="G113">
        <f>0.5*(H112+H114)*EXP(-G38*0.5)</f>
        <v>93.420538946958416</v>
      </c>
      <c r="K113">
        <f>(D8-A119)^2*10000</f>
        <v>1.9384178978447707E-9</v>
      </c>
    </row>
    <row r="114" spans="1:11" x14ac:dyDescent="0.25">
      <c r="F114">
        <f>0.5*(G113+G115)*EXP(-F39*0.5)</f>
        <v>90.295828814009184</v>
      </c>
      <c r="H114">
        <v>100</v>
      </c>
      <c r="K114">
        <f>K112+K113</f>
        <v>4.3711220584018554E-9</v>
      </c>
    </row>
    <row r="115" spans="1:11" x14ac:dyDescent="0.25">
      <c r="E115">
        <f>0.5*(F114+F116)*EXP(-E40*0.5)</f>
        <v>90.242768551393894</v>
      </c>
      <c r="G115">
        <f>0.5*(H114+H116)*EXP(-G40*0.5)</f>
        <v>96.699907909810875</v>
      </c>
    </row>
    <row r="116" spans="1:11" x14ac:dyDescent="0.25">
      <c r="D116">
        <f>0.5*(E115+E117)*EXP(-D41*0.5)</f>
        <v>90.620971843585835</v>
      </c>
      <c r="F116">
        <f>0.5*(G115+G117)*EXP(-F41*0.5)</f>
        <v>95.087837651276871</v>
      </c>
      <c r="H116">
        <v>100</v>
      </c>
    </row>
    <row r="117" spans="1:11" x14ac:dyDescent="0.25">
      <c r="C117">
        <f>0.5*(D116+D118)*EXP(-C42*0.5)</f>
        <v>91.635507592395101</v>
      </c>
      <c r="E117">
        <f>0.5*(F116+F118)*EXP(-E42*0.5)</f>
        <v>95.053697804516474</v>
      </c>
      <c r="G117">
        <f>0.5*(H116+H118)*EXP(-G42*0.5)</f>
        <v>98.3589872300753</v>
      </c>
    </row>
    <row r="118" spans="1:11" x14ac:dyDescent="0.25">
      <c r="B118">
        <f>0.5*(C117+C119)*EXP(-B43*0.5)</f>
        <v>92.825016874627764</v>
      </c>
      <c r="D118">
        <f>0.5*(E117+E119)*EXP(-D43*0.5)</f>
        <v>95.153800486219225</v>
      </c>
      <c r="F118">
        <f>0.5*(G117+G119)*EXP(-F43*0.5)</f>
        <v>97.546160505030301</v>
      </c>
      <c r="H118">
        <v>100</v>
      </c>
    </row>
    <row r="119" spans="1:11" x14ac:dyDescent="0.25">
      <c r="A119">
        <f>0.5*(B118+B120)*EXP(-A44*0.5)</f>
        <v>94.223553799397678</v>
      </c>
      <c r="C119">
        <f>0.5*(D118+D120)*EXP(-C44*0.5)</f>
        <v>95.640929614271471</v>
      </c>
      <c r="E119">
        <f>0.5*(F118+F120)*EXP(-E44*0.5)</f>
        <v>97.527241151548239</v>
      </c>
      <c r="G119">
        <f>0.5*(H118+H120)*EXP(-G44*0.5)</f>
        <v>99.187474622264219</v>
      </c>
    </row>
    <row r="120" spans="1:11" x14ac:dyDescent="0.25">
      <c r="B120">
        <f>0.5*(C119+C121)*EXP(-B45*0.5)</f>
        <v>96.244993403380221</v>
      </c>
      <c r="D120">
        <f>0.5*(E119+E121)*EXP(-D45*0.5)</f>
        <v>97.526240039715802</v>
      </c>
      <c r="F120">
        <f>0.5*(G119+G121)*EXP(-F45*0.5)</f>
        <v>98.782251817499912</v>
      </c>
      <c r="H120">
        <v>100</v>
      </c>
    </row>
    <row r="121" spans="1:11" x14ac:dyDescent="0.25">
      <c r="C121">
        <f>0.5*(D120+D122)*EXP(-C46*0.5)</f>
        <v>97.752334779923729</v>
      </c>
      <c r="E121">
        <f>0.5*(F120+F122)*EXP(-E46*0.5)</f>
        <v>98.772397716074337</v>
      </c>
      <c r="G121">
        <f>0.5*(H120+H122)*EXP(-G46*0.5)</f>
        <v>99.598540790614578</v>
      </c>
    </row>
    <row r="122" spans="1:11" x14ac:dyDescent="0.25">
      <c r="D122">
        <f>0.5*(E121+E123)*EXP(-D47*0.5)</f>
        <v>98.744153373510471</v>
      </c>
      <c r="F122">
        <f>0.5*(G121+G123)*EXP(-F47*0.5)</f>
        <v>99.397648576526791</v>
      </c>
      <c r="H122">
        <v>100</v>
      </c>
    </row>
    <row r="123" spans="1:11" x14ac:dyDescent="0.25">
      <c r="E123">
        <f>0.5*(F122+F124)*EXP(-E48*0.5)</f>
        <v>99.392659802280633</v>
      </c>
      <c r="G123">
        <f>0.5*(H122+H124)*EXP(-G48*0.5)</f>
        <v>99.80185124627873</v>
      </c>
    </row>
    <row r="124" spans="1:11" x14ac:dyDescent="0.25">
      <c r="F124">
        <f>0.5*(G123+G125)*EXP(-F49*0.5)</f>
        <v>99.702531546732487</v>
      </c>
      <c r="H124">
        <v>100</v>
      </c>
    </row>
    <row r="125" spans="1:11" x14ac:dyDescent="0.25">
      <c r="G125">
        <f>0.5*(H124+H126)*EXP(-G50*0.5)</f>
        <v>99.902249956722287</v>
      </c>
    </row>
    <row r="126" spans="1:11" x14ac:dyDescent="0.25">
      <c r="H126">
        <v>100</v>
      </c>
    </row>
    <row r="130" spans="1:12" x14ac:dyDescent="0.25">
      <c r="I130">
        <v>100</v>
      </c>
      <c r="K130">
        <f>0.5*LN(H37/H39)/SQRT(0.5)</f>
        <v>0.55000032870119986</v>
      </c>
      <c r="L130">
        <f>(C9-K130)^2*100000</f>
        <v>1.0804447875937257E-8</v>
      </c>
    </row>
    <row r="131" spans="1:12" x14ac:dyDescent="0.25">
      <c r="H131">
        <f>0.5*(I130+I132)*EXP(-H37*0.5)</f>
        <v>85.502726491640061</v>
      </c>
      <c r="L131">
        <f>(D9-A138)^2*100000</f>
        <v>3.5203096140140137E-8</v>
      </c>
    </row>
    <row r="132" spans="1:12" x14ac:dyDescent="0.25">
      <c r="G132">
        <f>0.5*(H131+H133)*EXP(-G38*0.5)</f>
        <v>83.405934172782523</v>
      </c>
      <c r="I132">
        <v>100</v>
      </c>
      <c r="L132">
        <f>L130+L131</f>
        <v>4.6007544016077398E-8</v>
      </c>
    </row>
    <row r="133" spans="1:12" x14ac:dyDescent="0.25">
      <c r="F133">
        <f>0.5*(G132+G134)*EXP(-F39*0.5)</f>
        <v>83.198583639570288</v>
      </c>
      <c r="H133">
        <f>0.5*(I132+I134)*EXP(-H39*0.5)</f>
        <v>93.057438356345017</v>
      </c>
    </row>
    <row r="134" spans="1:12" x14ac:dyDescent="0.25">
      <c r="E134">
        <f>0.5*(F133+F135)*EXP(-E40*0.5)</f>
        <v>85.062928311127664</v>
      </c>
      <c r="G134">
        <f>0.5*(H133+H135)*EXP(-G40*0.5)</f>
        <v>91.771060237299352</v>
      </c>
      <c r="I134">
        <v>100</v>
      </c>
    </row>
    <row r="135" spans="1:12" x14ac:dyDescent="0.25">
      <c r="D135">
        <f>0.5*(E134+E136)*EXP(-D41*0.5)</f>
        <v>86.82354791982371</v>
      </c>
      <c r="F135">
        <f>0.5*(G134+G136)*EXP(-F41*0.5)</f>
        <v>91.544254858452035</v>
      </c>
      <c r="H135">
        <f>0.5*(I134+I136)*EXP(-H41*0.5)</f>
        <v>96.748451268475478</v>
      </c>
    </row>
    <row r="136" spans="1:12" x14ac:dyDescent="0.25">
      <c r="C136">
        <f>0.5*(D135+D137)*EXP(-C42*0.5)</f>
        <v>88.831058915799943</v>
      </c>
      <c r="E136">
        <f>0.5*(F135+F137)*EXP(-E42*0.5)</f>
        <v>92.468787568005254</v>
      </c>
      <c r="G136">
        <f>0.5*(H135+H137)*EXP(-G42*0.5)</f>
        <v>96.018689221305877</v>
      </c>
      <c r="I136">
        <v>100</v>
      </c>
    </row>
    <row r="137" spans="1:12" x14ac:dyDescent="0.25">
      <c r="B137">
        <f>0.5*(C136+C138)*EXP(-B43*0.5)</f>
        <v>90.748507185487853</v>
      </c>
      <c r="D137">
        <f>0.5*(E136+E138)*EXP(-D43*0.5)</f>
        <v>93.265701100364993</v>
      </c>
      <c r="F137">
        <f>0.5*(G136+G138)*EXP(-F43*0.5)</f>
        <v>95.851213864120027</v>
      </c>
      <c r="H137">
        <f>0.5*(I136+I138)*EXP(-H43*0.5)</f>
        <v>98.492862057992284</v>
      </c>
    </row>
    <row r="138" spans="1:12" x14ac:dyDescent="0.25">
      <c r="A138">
        <f>0.5*(B137+B139)*EXP(-A44*0.5)</f>
        <v>92.681621249260189</v>
      </c>
      <c r="C138">
        <f>0.5*(D137+D139)*EXP(-C44*0.5)</f>
        <v>94.255976020867791</v>
      </c>
      <c r="E138">
        <f>0.5*(F137+F139)*EXP(-E44*0.5)</f>
        <v>96.290843666116828</v>
      </c>
      <c r="G138">
        <f>0.5*(H137+H139)*EXP(-G44*0.5)</f>
        <v>98.09523658649023</v>
      </c>
      <c r="I138">
        <v>100</v>
      </c>
    </row>
    <row r="139" spans="1:12" x14ac:dyDescent="0.25">
      <c r="B139">
        <f>0.5*(C138+C140)*EXP(-B45*0.5)</f>
        <v>95.22744442728272</v>
      </c>
      <c r="D139">
        <f>0.5*(E138+E140)*EXP(-D45*0.5)</f>
        <v>96.624185507369944</v>
      </c>
      <c r="F139">
        <f>0.5*(G138+G140)*EXP(-F45*0.5)</f>
        <v>97.988253293467807</v>
      </c>
      <c r="H139">
        <f>0.5*(I138+I140)*EXP(-H45*0.5)</f>
        <v>99.304767048034336</v>
      </c>
    </row>
    <row r="140" spans="1:12" x14ac:dyDescent="0.25">
      <c r="C140">
        <f>0.5*(D139+D141)*EXP(-C46*0.5)</f>
        <v>97.092640530257825</v>
      </c>
      <c r="E140">
        <f>0.5*(F139+F141)*EXP(-E46*0.5)</f>
        <v>98.193150726067316</v>
      </c>
      <c r="G140">
        <f>0.5*(H139+H141)*EXP(-G46*0.5)</f>
        <v>99.092963430079806</v>
      </c>
      <c r="I140">
        <v>100</v>
      </c>
    </row>
    <row r="141" spans="1:12" x14ac:dyDescent="0.25">
      <c r="D141">
        <f>0.5*(E140+E142)*EXP(-D47*0.5)</f>
        <v>98.321651820256179</v>
      </c>
      <c r="F141">
        <f>0.5*(G140+G142)*EXP(-F47*0.5)</f>
        <v>99.029428571520896</v>
      </c>
      <c r="H141">
        <f>0.5*(I140+I142)*EXP(-H47*0.5)</f>
        <v>99.680002494729067</v>
      </c>
    </row>
    <row r="142" spans="1:12" x14ac:dyDescent="0.25">
      <c r="E142">
        <f>0.5*(F141+F143)*EXP(-E48*0.5)</f>
        <v>99.124008038368174</v>
      </c>
      <c r="G142">
        <f>0.5*(H141+H143)*EXP(-G48*0.5)</f>
        <v>99.568747014185362</v>
      </c>
      <c r="I142">
        <v>100</v>
      </c>
    </row>
    <row r="143" spans="1:12" x14ac:dyDescent="0.25">
      <c r="F143">
        <f>0.5*(G142+G144)*EXP(-F49*0.5)</f>
        <v>99.532596976825062</v>
      </c>
      <c r="H143">
        <f>0.5*(I142+I144)*EXP(-H49*0.5)</f>
        <v>99.852863420717441</v>
      </c>
    </row>
    <row r="144" spans="1:12" x14ac:dyDescent="0.25">
      <c r="G144">
        <f>0.5*(H143+H145)*EXP(-G50*0.5)</f>
        <v>99.7949753637226</v>
      </c>
      <c r="I144">
        <v>100</v>
      </c>
    </row>
    <row r="145" spans="1:13" x14ac:dyDescent="0.25">
      <c r="H145">
        <f>0.5*(I144+I146)*EXP(-H51*0.5)</f>
        <v>99.932377466157135</v>
      </c>
    </row>
    <row r="146" spans="1:13" x14ac:dyDescent="0.25">
      <c r="I146">
        <v>100</v>
      </c>
    </row>
    <row r="151" spans="1:13" x14ac:dyDescent="0.25">
      <c r="J151">
        <v>100</v>
      </c>
      <c r="L151">
        <f>0.5*LN(I36/I38)/SQRT(0.5)</f>
        <v>0.54999933157346237</v>
      </c>
      <c r="M151">
        <f>(C10-L151)^2*100000</f>
        <v>4.467940362688766E-8</v>
      </c>
    </row>
    <row r="152" spans="1:13" x14ac:dyDescent="0.25">
      <c r="I152">
        <f>0.5*(J151+J153)*EXP(-I36*0.5)</f>
        <v>82.982196397995764</v>
      </c>
      <c r="M152">
        <f>(D10-A160)^2*100000</f>
        <v>3.3328943349335094E-8</v>
      </c>
    </row>
    <row r="153" spans="1:13" x14ac:dyDescent="0.25">
      <c r="H153">
        <f>0.5*(I152+I154)*EXP(-H37*0.5)</f>
        <v>74.716200352691089</v>
      </c>
      <c r="J153">
        <v>100</v>
      </c>
      <c r="M153">
        <f>M151+M152</f>
        <v>7.800834697622276E-8</v>
      </c>
    </row>
    <row r="154" spans="1:13" x14ac:dyDescent="0.25">
      <c r="G154">
        <f>0.5*(H153+H155)*EXP(-G38*0.5)</f>
        <v>75.743468020658113</v>
      </c>
      <c r="I154">
        <f>0.5*(J153+J155)*EXP(-I38*0.5)</f>
        <v>91.7869680917387</v>
      </c>
    </row>
    <row r="155" spans="1:13" x14ac:dyDescent="0.25">
      <c r="F155">
        <f>0.5*(G154+G156)*EXP(-F39*0.5)</f>
        <v>77.64138979612872</v>
      </c>
      <c r="H155">
        <f>0.5*(I154+I156)*EXP(-H39*0.5)</f>
        <v>87.439721405934478</v>
      </c>
      <c r="J155">
        <v>100</v>
      </c>
    </row>
    <row r="156" spans="1:13" x14ac:dyDescent="0.25">
      <c r="E156">
        <f>0.5*(F155+F157)*EXP(-E40*0.5)</f>
        <v>80.92971678845943</v>
      </c>
      <c r="G156">
        <f>0.5*(H155+H157)*EXP(-G40*0.5)</f>
        <v>87.732696011521753</v>
      </c>
      <c r="I156">
        <f>0.5*(J155+J157)*EXP(-I40*0.5)</f>
        <v>96.139377078222637</v>
      </c>
    </row>
    <row r="157" spans="1:13" x14ac:dyDescent="0.25">
      <c r="D157">
        <f>0.5*(E156+E158)*EXP(-D41*0.5)</f>
        <v>83.746641509429324</v>
      </c>
      <c r="F157">
        <f>0.5*(G156+G158)*EXP(-F41*0.5)</f>
        <v>88.610686299004414</v>
      </c>
      <c r="H157">
        <f>0.5*(I156+I158)*EXP(-H41*0.5)</f>
        <v>94.013804058324311</v>
      </c>
      <c r="J157">
        <v>100</v>
      </c>
    </row>
    <row r="158" spans="1:13" x14ac:dyDescent="0.25">
      <c r="C158">
        <f>0.5*(D157+D159)*EXP(-C42*0.5)</f>
        <v>86.53026398152214</v>
      </c>
      <c r="E158">
        <f>0.5*(F157+F159)*EXP(-E42*0.5)</f>
        <v>90.310520710392979</v>
      </c>
      <c r="G158">
        <f>0.5*(H157+H159)*EXP(-G42*0.5)</f>
        <v>94.039263410449095</v>
      </c>
      <c r="I158">
        <f>0.5*(J157+J159)*EXP(-I42*0.5)</f>
        <v>98.207514940622048</v>
      </c>
    </row>
    <row r="159" spans="1:13" x14ac:dyDescent="0.25">
      <c r="B159">
        <f>0.5*(C158+C160)*EXP(-B43*0.5)</f>
        <v>89.027578049538832</v>
      </c>
      <c r="D159">
        <f>0.5*(E158+E160)*EXP(-D43*0.5)</f>
        <v>91.6781530179193</v>
      </c>
      <c r="F159">
        <f>0.5*(G158+G160)*EXP(-F43*0.5)</f>
        <v>94.41088026644033</v>
      </c>
      <c r="H159">
        <f>0.5*(I158+I160)*EXP(-H43*0.5)</f>
        <v>97.20260851102887</v>
      </c>
      <c r="J159">
        <v>100</v>
      </c>
    </row>
    <row r="160" spans="1:13" x14ac:dyDescent="0.25">
      <c r="A160">
        <f>0.5*(B159+B161)*EXP(-A44*0.5)</f>
        <v>91.393119104435073</v>
      </c>
      <c r="C160">
        <f>0.5*(D159+D161)*EXP(-C44*0.5)</f>
        <v>93.084759980981445</v>
      </c>
      <c r="E160">
        <f>0.5*(F159+F161)*EXP(-E44*0.5)</f>
        <v>95.236085938341461</v>
      </c>
      <c r="G160">
        <f>0.5*(H159+H161)*EXP(-G44*0.5)</f>
        <v>97.157758188759487</v>
      </c>
      <c r="I160">
        <f>0.5*(J159+J161)*EXP(-I44*0.5)</f>
        <v>99.17249104152981</v>
      </c>
    </row>
    <row r="161" spans="2:14" x14ac:dyDescent="0.25">
      <c r="B161">
        <f>0.5*(C160+C162)*EXP(-B45*0.5)</f>
        <v>94.362851112189603</v>
      </c>
      <c r="D161">
        <f>0.5*(E160+E162)*EXP(-D45*0.5)</f>
        <v>95.852179422577052</v>
      </c>
      <c r="F161">
        <f>0.5*(G160+G162)*EXP(-F45*0.5)</f>
        <v>97.3052938744069</v>
      </c>
      <c r="H161">
        <f>0.5*(I160+I162)*EXP(-H45*0.5)</f>
        <v>98.704704501557643</v>
      </c>
      <c r="J161">
        <v>100</v>
      </c>
    </row>
    <row r="162" spans="2:14" x14ac:dyDescent="0.25">
      <c r="C162">
        <f>0.5*(D161+D163)*EXP(-C46*0.5)</f>
        <v>96.526555567083534</v>
      </c>
      <c r="E162">
        <f>0.5*(F161+F163)*EXP(-E46*0.5)</f>
        <v>97.694023924030631</v>
      </c>
      <c r="G162">
        <f>0.5*(H161+H163)*EXP(-G46*0.5)</f>
        <v>98.656077717801864</v>
      </c>
      <c r="I162">
        <f>0.5*(J161+J163)*EXP(-I46*0.5)</f>
        <v>99.618981786382989</v>
      </c>
    </row>
    <row r="163" spans="2:14" x14ac:dyDescent="0.25">
      <c r="D163">
        <f>0.5*(E162+E164)*EXP(-D47*0.5)</f>
        <v>97.957053662524629</v>
      </c>
      <c r="F163">
        <f>0.5*(G162+G164)*EXP(-F47*0.5)</f>
        <v>98.710925009031456</v>
      </c>
      <c r="H163">
        <f>0.5*(I162+I164)*EXP(-H47*0.5)</f>
        <v>99.402771641503463</v>
      </c>
      <c r="J163">
        <v>100</v>
      </c>
    </row>
    <row r="164" spans="2:14" x14ac:dyDescent="0.25">
      <c r="E164">
        <f>0.5*(F163+F165)*EXP(-E48*0.5)</f>
        <v>98.891439722976855</v>
      </c>
      <c r="G164">
        <f>0.5*(H163+H165)*EXP(-G48*0.5)</f>
        <v>99.366686673563038</v>
      </c>
      <c r="I164">
        <f>0.5*(J163+J165)*EXP(-I48*0.5)</f>
        <v>99.824776547711622</v>
      </c>
    </row>
    <row r="165" spans="2:14" x14ac:dyDescent="0.25">
      <c r="F165">
        <f>0.5*(G164+G166)*EXP(-F49*0.5)</f>
        <v>99.385227168207535</v>
      </c>
      <c r="H165">
        <f>0.5*(I164+I166)*EXP(-H49*0.5)</f>
        <v>99.725171242758577</v>
      </c>
      <c r="J165">
        <v>100</v>
      </c>
    </row>
    <row r="166" spans="2:14" x14ac:dyDescent="0.25">
      <c r="G166">
        <f>0.5*(H165+H167)*EXP(-G50*0.5)</f>
        <v>99.701854080389609</v>
      </c>
      <c r="I166">
        <f>0.5*(J165+J167)*EXP(-I50*0.5)</f>
        <v>99.919462778864627</v>
      </c>
    </row>
    <row r="167" spans="2:14" x14ac:dyDescent="0.25">
      <c r="H167">
        <f>0.5*(I166+I168)*EXP(-H51*0.5)</f>
        <v>99.873644847130322</v>
      </c>
      <c r="J167">
        <v>100</v>
      </c>
    </row>
    <row r="168" spans="2:14" x14ac:dyDescent="0.25">
      <c r="I168">
        <f>0.5*(J167+J169)*EXP(-I52*0.5)</f>
        <v>99.962992496360457</v>
      </c>
    </row>
    <row r="169" spans="2:14" x14ac:dyDescent="0.25">
      <c r="J169">
        <v>100</v>
      </c>
    </row>
    <row r="174" spans="2:14" x14ac:dyDescent="0.25">
      <c r="K174">
        <v>100</v>
      </c>
      <c r="M174">
        <f>0.5*LN(J35/J37)/SQRT(0.5)</f>
        <v>0.54999999999431304</v>
      </c>
      <c r="N174">
        <f>(C11-M174)^2*100000</f>
        <v>3.2342042036361277E-18</v>
      </c>
    </row>
    <row r="175" spans="2:14" x14ac:dyDescent="0.25">
      <c r="J175">
        <f>0.5*(K174+K176)*EXP(-J35*0.5)</f>
        <v>68.56821078628829</v>
      </c>
      <c r="N175">
        <f>(A184-D11)^2*100000</f>
        <v>3.7810436057665671E-9</v>
      </c>
    </row>
    <row r="176" spans="2:14" x14ac:dyDescent="0.25">
      <c r="I176">
        <f>0.5*(J175+J177)*EXP(-I36*0.5)</f>
        <v>63.337095889901384</v>
      </c>
      <c r="K176">
        <v>100</v>
      </c>
      <c r="N176">
        <f>N174+N175</f>
        <v>3.7810436090007714E-9</v>
      </c>
    </row>
    <row r="177" spans="1:11" x14ac:dyDescent="0.25">
      <c r="H177">
        <f>0.5*(I176+I178)*EXP(-H37*0.5)</f>
        <v>61.692986266226669</v>
      </c>
      <c r="J177">
        <f>0.5*(K176+K178)*EXP(-J37*0.5)</f>
        <v>84.084041477863963</v>
      </c>
    </row>
    <row r="178" spans="1:11" x14ac:dyDescent="0.25">
      <c r="G178">
        <f>0.5*(H177+H179)*EXP(-G38*0.5)</f>
        <v>66.134145065465304</v>
      </c>
      <c r="I178">
        <f>0.5*(J177+J179)*EXP(-I38*0.5)</f>
        <v>80.969381336315806</v>
      </c>
      <c r="K178">
        <v>100</v>
      </c>
    </row>
    <row r="179" spans="1:11" x14ac:dyDescent="0.25">
      <c r="F179">
        <f>0.5*(G178+G180)*EXP(-F39*0.5)</f>
        <v>70.45656375421548</v>
      </c>
      <c r="H179">
        <f>0.5*(I178+I180)*EXP(-H39*0.5)</f>
        <v>79.890750695544511</v>
      </c>
      <c r="J179">
        <f>0.5*(K178+K180)*EXP(-J39*0.5)</f>
        <v>92.344885241643766</v>
      </c>
    </row>
    <row r="180" spans="1:11" x14ac:dyDescent="0.25">
      <c r="E180">
        <f>0.5*(F179+F181)*EXP(-E40*0.5)</f>
        <v>75.453786309474111</v>
      </c>
      <c r="G180">
        <f>0.5*(H179+H181)*EXP(-G40*0.5)</f>
        <v>82.214162501823566</v>
      </c>
      <c r="I180">
        <f>0.5*(J179+J181)*EXP(-I40*0.5)</f>
        <v>90.73263863465894</v>
      </c>
      <c r="K180">
        <v>100</v>
      </c>
    </row>
    <row r="181" spans="1:11" x14ac:dyDescent="0.25">
      <c r="D181">
        <f>0.5*(E180+E182)*EXP(-D41*0.5)</f>
        <v>79.589731701215655</v>
      </c>
      <c r="F181">
        <f>0.5*(G180+G182)*EXP(-F41*0.5)</f>
        <v>84.546432932131864</v>
      </c>
      <c r="H181">
        <f>0.5*(I180+I182)*EXP(-H41*0.5)</f>
        <v>90.149044127222552</v>
      </c>
      <c r="J181">
        <f>0.5*(K180+K182)*EXP(-J41*0.5)</f>
        <v>96.407406258717089</v>
      </c>
    </row>
    <row r="182" spans="1:11" x14ac:dyDescent="0.25">
      <c r="C182">
        <f>0.5*(D181+D183)*EXP(-C42*0.5)</f>
        <v>83.372592268062064</v>
      </c>
      <c r="E182">
        <f>0.5*(F181+F183)*EXP(-E42*0.5)</f>
        <v>87.286644988318045</v>
      </c>
      <c r="G182">
        <f>0.5*(H181+H183)*EXP(-G42*0.5)</f>
        <v>91.220571141408811</v>
      </c>
      <c r="I182">
        <f>0.5*(J181+J183)*EXP(-I42*0.5)</f>
        <v>95.624957678816571</v>
      </c>
      <c r="K182">
        <v>100</v>
      </c>
    </row>
    <row r="183" spans="1:11" x14ac:dyDescent="0.25">
      <c r="B183">
        <f>0.5*(C182+C184)*EXP(-B43*0.5)</f>
        <v>86.635457748418816</v>
      </c>
      <c r="D183">
        <f>0.5*(E182+E184)*EXP(-D43*0.5)</f>
        <v>89.433442329091108</v>
      </c>
      <c r="F183">
        <f>0.5*(G182+G184)*EXP(-F43*0.5)</f>
        <v>92.347005178289137</v>
      </c>
      <c r="H183">
        <f>0.5*(I182+I184)*EXP(-H43*0.5)</f>
        <v>95.33593027177416</v>
      </c>
      <c r="J183">
        <f>0.5*(K182+K184)*EXP(-J43*0.5)</f>
        <v>98.333205468670712</v>
      </c>
    </row>
    <row r="184" spans="1:11" x14ac:dyDescent="0.25">
      <c r="A184">
        <f>0.5*(B183+B185)*EXP(-A44*0.5)</f>
        <v>89.583413335203758</v>
      </c>
      <c r="C184">
        <f>0.5*(D183+D185)*EXP(-C44*0.5)</f>
        <v>91.416278331404072</v>
      </c>
      <c r="E184">
        <f>0.5*(F183+F185)*EXP(-E44*0.5)</f>
        <v>93.716911462417698</v>
      </c>
      <c r="G184">
        <f>0.5*(H183+H185)*EXP(-G44*0.5)</f>
        <v>95.796775734995848</v>
      </c>
      <c r="I184">
        <f>0.5*(J183+J185)*EXP(-I44*0.5)</f>
        <v>97.964563997669345</v>
      </c>
      <c r="K184">
        <v>100</v>
      </c>
    </row>
    <row r="185" spans="1:11" x14ac:dyDescent="0.25">
      <c r="B185">
        <f>0.5*(C184+C186)*EXP(-B45*0.5)</f>
        <v>93.123596087377877</v>
      </c>
      <c r="D185">
        <f>0.5*(E184+E186)*EXP(-D45*0.5)</f>
        <v>94.735535164794854</v>
      </c>
      <c r="F185">
        <f>0.5*(G184+G186)*EXP(-F45*0.5)</f>
        <v>96.310976098929729</v>
      </c>
      <c r="H185">
        <f>0.5*(I184+I186)*EXP(-H45*0.5)</f>
        <v>97.827120002101296</v>
      </c>
      <c r="J185">
        <f>0.5*(K184+K186)*EXP(-J45*0.5)</f>
        <v>99.230782223531904</v>
      </c>
    </row>
    <row r="186" spans="1:11" x14ac:dyDescent="0.25">
      <c r="C186">
        <f>0.5*(D185+D187)*EXP(-C46*0.5)</f>
        <v>95.704896522684507</v>
      </c>
      <c r="E186">
        <f>0.5*(F185+F187)*EXP(-E46*0.5)</f>
        <v>96.965630315129346</v>
      </c>
      <c r="G186">
        <f>0.5*(H185+H187)*EXP(-G46*0.5)</f>
        <v>98.016129184423434</v>
      </c>
      <c r="I186">
        <f>0.5*(J185+J187)*EXP(-I46*0.5)</f>
        <v>99.05945188825828</v>
      </c>
      <c r="K186">
        <v>100</v>
      </c>
    </row>
    <row r="187" spans="1:11" x14ac:dyDescent="0.25">
      <c r="D187">
        <f>0.5*(E186+E188)*EXP(-D47*0.5)</f>
        <v>97.423943525603065</v>
      </c>
      <c r="F187">
        <f>0.5*(G186+G188)*EXP(-F47*0.5)</f>
        <v>98.243772007271289</v>
      </c>
      <c r="H187">
        <f>0.5*(I186+I188)*EXP(-H47*0.5)</f>
        <v>98.995300098374173</v>
      </c>
      <c r="J187">
        <f>0.5*(K186+K188)*EXP(-J47*0.5)</f>
        <v>99.6458778504999</v>
      </c>
    </row>
    <row r="188" spans="1:11" x14ac:dyDescent="0.25">
      <c r="E188">
        <f>0.5*(F187+F189)*EXP(-E48*0.5)</f>
        <v>98.549959346052674</v>
      </c>
      <c r="G188">
        <f>0.5*(H187+H189)*EXP(-G48*0.5)</f>
        <v>99.069485354543573</v>
      </c>
      <c r="I188">
        <f>0.5*(J187+J189)*EXP(-I48*0.5)</f>
        <v>99.566747190356111</v>
      </c>
      <c r="K188">
        <v>100</v>
      </c>
    </row>
    <row r="189" spans="1:11" x14ac:dyDescent="0.25">
      <c r="F189">
        <f>0.5*(G188+G190)*EXP(-F49*0.5)</f>
        <v>99.16833765928925</v>
      </c>
      <c r="H189">
        <f>0.5*(I188+I190)*EXP(-H49*0.5)</f>
        <v>99.537060007997184</v>
      </c>
      <c r="J189">
        <f>0.5*(K188+K190)*EXP(-J49*0.5)</f>
        <v>99.837157591643717</v>
      </c>
    </row>
    <row r="190" spans="1:11" x14ac:dyDescent="0.25">
      <c r="G190">
        <f>0.5*(H189+H191)*EXP(-G50*0.5)</f>
        <v>99.564625864201304</v>
      </c>
      <c r="I190">
        <f>0.5*(J189+J191)*EXP(-I50*0.5)</f>
        <v>99.800715290134477</v>
      </c>
      <c r="K190">
        <v>100</v>
      </c>
    </row>
    <row r="191" spans="1:11" x14ac:dyDescent="0.25">
      <c r="H191">
        <f>0.5*(I190+I192)*EXP(-H51*0.5)</f>
        <v>99.787031105732012</v>
      </c>
      <c r="J191">
        <f>0.5*(K190+K192)*EXP(-J51*0.5)</f>
        <v>99.925156004871567</v>
      </c>
    </row>
    <row r="192" spans="1:11" x14ac:dyDescent="0.25">
      <c r="I192">
        <f>0.5*(J191+J193)*EXP(-I52*0.5)</f>
        <v>99.908395282213604</v>
      </c>
      <c r="K192">
        <v>100</v>
      </c>
    </row>
    <row r="193" spans="3:15" x14ac:dyDescent="0.25">
      <c r="J193">
        <f>0.5*(K192+K194)*EXP(-J53*0.5)</f>
        <v>99.965609141742377</v>
      </c>
    </row>
    <row r="194" spans="3:15" x14ac:dyDescent="0.25">
      <c r="K194">
        <v>100</v>
      </c>
    </row>
    <row r="199" spans="3:15" x14ac:dyDescent="0.25">
      <c r="L199">
        <v>100</v>
      </c>
      <c r="N199">
        <f>0.5*LN(K34/K36)/SQRT(0.5)</f>
        <v>0.55000011726845721</v>
      </c>
      <c r="O199">
        <f>(C12-N199)^2*100000</f>
        <v>1.3751891046348607E-9</v>
      </c>
    </row>
    <row r="200" spans="3:15" x14ac:dyDescent="0.25">
      <c r="K200">
        <f>0.5*(L199+L201)*EXP(-K34*0.5)</f>
        <v>64.154415756615521</v>
      </c>
      <c r="O200">
        <f>(D12-A210)^2*1000000</f>
        <v>1.2586976539752121E-7</v>
      </c>
    </row>
    <row r="201" spans="3:15" x14ac:dyDescent="0.25">
      <c r="J201">
        <f>0.5*(K200+K202)*EXP(-J35*0.5)</f>
        <v>49.954386660143513</v>
      </c>
      <c r="L201">
        <v>100</v>
      </c>
      <c r="O201">
        <f>O199+O200</f>
        <v>1.2724495450215606E-7</v>
      </c>
    </row>
    <row r="202" spans="3:15" x14ac:dyDescent="0.25">
      <c r="I202">
        <f>0.5*(J201+J203)*EXP(-I36*0.5)</f>
        <v>50.836167627364929</v>
      </c>
      <c r="K202">
        <f>0.5*(L201+L203)*EXP(-K36*0.5)</f>
        <v>81.552716126525226</v>
      </c>
    </row>
    <row r="203" spans="3:15" x14ac:dyDescent="0.25">
      <c r="H203">
        <f>0.5*(I202+I204)*EXP(-H37*0.5)</f>
        <v>52.897589870283269</v>
      </c>
      <c r="J203">
        <f>0.5*(K202+K204)*EXP(-J37*0.5)</f>
        <v>72.568684152652551</v>
      </c>
      <c r="L203">
        <v>100</v>
      </c>
    </row>
    <row r="204" spans="3:15" x14ac:dyDescent="0.25">
      <c r="G204">
        <f>0.5*(H203+H205)*EXP(-G38*0.5)</f>
        <v>59.326026804655392</v>
      </c>
      <c r="I204">
        <f>0.5*(J203+J205)*EXP(-I38*0.5)</f>
        <v>72.896939001592173</v>
      </c>
      <c r="K204">
        <f>0.5*(L203+L205)*EXP(-K38*0.5)</f>
        <v>91.057170071100131</v>
      </c>
    </row>
    <row r="205" spans="3:15" x14ac:dyDescent="0.25">
      <c r="F205">
        <f>0.5*(G204+G206)*EXP(-F39*0.5)</f>
        <v>65.173717660872327</v>
      </c>
      <c r="H205">
        <f>0.5*(I204+I206)*EXP(-H39*0.5)</f>
        <v>74.110940530807767</v>
      </c>
      <c r="J205">
        <f>0.5*(K204+K206)*EXP(-J39*0.5)</f>
        <v>86.270725225666965</v>
      </c>
      <c r="L205">
        <v>100</v>
      </c>
    </row>
    <row r="206" spans="3:15" x14ac:dyDescent="0.25">
      <c r="E206">
        <f>0.5*(F205+F207)*EXP(-E40*0.5)</f>
        <v>71.308742287954786</v>
      </c>
      <c r="G206">
        <f>0.5*(H205+H207)*EXP(-G40*0.5)</f>
        <v>77.899097409272301</v>
      </c>
      <c r="I206">
        <f>0.5*(J205+J207)*EXP(-I40*0.5)</f>
        <v>86.38305374227555</v>
      </c>
      <c r="K206">
        <f>0.5*(L205+L207)*EXP(-K40*0.5)</f>
        <v>95.787450505161914</v>
      </c>
    </row>
    <row r="207" spans="3:15" x14ac:dyDescent="0.25">
      <c r="D207">
        <f>0.5*(E206+E208)*EXP(-D41*0.5)</f>
        <v>76.370255420968391</v>
      </c>
      <c r="F207">
        <f>0.5*(G206+G208)*EXP(-F41*0.5)</f>
        <v>81.314209389378391</v>
      </c>
      <c r="H207">
        <f>0.5*(I206+I208)*EXP(-H41*0.5)</f>
        <v>87.004202374863794</v>
      </c>
      <c r="J207">
        <f>0.5*(K206+K208)*EXP(-J41*0.5)</f>
        <v>93.433068095130238</v>
      </c>
      <c r="L207">
        <v>100</v>
      </c>
    </row>
    <row r="208" spans="3:15" x14ac:dyDescent="0.25">
      <c r="C208">
        <f>0.5*(D207+D209)*EXP(-C42*0.5)</f>
        <v>80.881930441459005</v>
      </c>
      <c r="E208">
        <f>0.5*(F207+F209)*EXP(-E42*0.5)</f>
        <v>84.848692093007088</v>
      </c>
      <c r="G208">
        <f>0.5*(H207+H209)*EXP(-G42*0.5)</f>
        <v>88.905198854504619</v>
      </c>
      <c r="I208">
        <f>0.5*(J207+J209)*EXP(-I42*0.5)</f>
        <v>93.473473642185539</v>
      </c>
      <c r="K208">
        <f>0.5*(L207+L209)*EXP(-K42*0.5)</f>
        <v>98.042197487638617</v>
      </c>
    </row>
    <row r="209" spans="1:12" x14ac:dyDescent="0.25">
      <c r="B209">
        <f>0.5*(C208+C210)*EXP(-B43*0.5)</f>
        <v>84.720674352724188</v>
      </c>
      <c r="D209">
        <f>0.5*(E208+E210)*EXP(-D43*0.5)</f>
        <v>87.603542598394327</v>
      </c>
      <c r="F209">
        <f>0.5*(G208+G210)*EXP(-F43*0.5)</f>
        <v>90.638520212191949</v>
      </c>
      <c r="H209">
        <f>0.5*(I208+I210)*EXP(-H43*0.5)</f>
        <v>93.772768511473288</v>
      </c>
      <c r="J209">
        <f>0.5*(K208+K210)*EXP(-J43*0.5)</f>
        <v>96.926037720145146</v>
      </c>
      <c r="L209">
        <v>100</v>
      </c>
    </row>
    <row r="210" spans="1:12" x14ac:dyDescent="0.25">
      <c r="A210">
        <f>0.5*(B209+B211)*EXP(-A44*0.5)</f>
        <v>88.117414599570253</v>
      </c>
      <c r="C210">
        <f>0.5*(D209+D211)*EXP(-C44*0.5)</f>
        <v>90.043824109749352</v>
      </c>
      <c r="E210">
        <f>0.5*(F209+F211)*EXP(-E44*0.5)</f>
        <v>92.451346405399732</v>
      </c>
      <c r="G210">
        <f>0.5*(H209+H211)*EXP(-G44*0.5)</f>
        <v>94.652194719452908</v>
      </c>
      <c r="I210">
        <f>0.5*(J209+J211)*EXP(-I44*0.5)</f>
        <v>96.941885505891975</v>
      </c>
      <c r="K210">
        <f>0.5*(L209+L211)*EXP(-K44*0.5)</f>
        <v>99.095762692101687</v>
      </c>
    </row>
    <row r="211" spans="1:12" x14ac:dyDescent="0.25">
      <c r="B211">
        <f>0.5*(C210+C212)*EXP(-B45*0.5)</f>
        <v>92.09669043784838</v>
      </c>
      <c r="D211">
        <f>0.5*(E210+E212)*EXP(-D45*0.5)</f>
        <v>93.800462449960733</v>
      </c>
      <c r="F211">
        <f>0.5*(G210+G212)*EXP(-F45*0.5)</f>
        <v>95.471799761359833</v>
      </c>
      <c r="H211">
        <f>0.5*(I210+I212)*EXP(-H45*0.5)</f>
        <v>97.082367340945538</v>
      </c>
      <c r="J211">
        <f>0.5*(K210+K212)*EXP(-J45*0.5)</f>
        <v>98.575526247419731</v>
      </c>
      <c r="L211">
        <v>100</v>
      </c>
    </row>
    <row r="212" spans="1:12" x14ac:dyDescent="0.25">
      <c r="C212">
        <f>0.5*(D211+D213)*EXP(-C46*0.5)</f>
        <v>95.013901740244037</v>
      </c>
      <c r="E212">
        <f>0.5*(F211+F213)*EXP(-E46*0.5)</f>
        <v>96.349092297506544</v>
      </c>
      <c r="G212">
        <f>0.5*(H211+H213)*EXP(-G46*0.5)</f>
        <v>97.471980521253599</v>
      </c>
      <c r="I212">
        <f>0.5*(J211+J213)*EXP(-I46*0.5)</f>
        <v>98.582197026794901</v>
      </c>
      <c r="K212">
        <f>0.5*(L211+L213)*EXP(-K46*0.5)</f>
        <v>99.583566521214138</v>
      </c>
    </row>
    <row r="213" spans="1:12" x14ac:dyDescent="0.25">
      <c r="D213">
        <f>0.5*(E212+E214)*EXP(-D47*0.5)</f>
        <v>96.971613902667855</v>
      </c>
      <c r="F213">
        <f>0.5*(G212+G214)*EXP(-F47*0.5)</f>
        <v>97.845907979851319</v>
      </c>
      <c r="H213">
        <f>0.5*(I212+I214)*EXP(-H47*0.5)</f>
        <v>98.647368752615037</v>
      </c>
      <c r="J213">
        <f>0.5*(K212+K214)*EXP(-J47*0.5)</f>
        <v>99.342973337706923</v>
      </c>
      <c r="L213">
        <v>100</v>
      </c>
    </row>
    <row r="214" spans="1:12" x14ac:dyDescent="0.25">
      <c r="E214">
        <f>0.5*(F213+F215)*EXP(-E48*0.5)</f>
        <v>98.258738041387744</v>
      </c>
      <c r="G214">
        <f>0.5*(H213+H215)*EXP(-G48*0.5)</f>
        <v>98.815483918781851</v>
      </c>
      <c r="I214">
        <f>0.5*(J213+J215)*EXP(-I48*0.5)</f>
        <v>99.345905468650685</v>
      </c>
      <c r="K214">
        <f>0.5*(L213+L215)*EXP(-K48*0.5)</f>
        <v>99.80847152526195</v>
      </c>
    </row>
    <row r="215" spans="1:12" x14ac:dyDescent="0.25">
      <c r="F215">
        <f>0.5*(G214+G216)*EXP(-F49*0.5)</f>
        <v>98.982836533489035</v>
      </c>
      <c r="H215">
        <f>0.5*(I214+I216)*EXP(-H49*0.5)</f>
        <v>99.375979882345973</v>
      </c>
      <c r="J215">
        <f>0.5*(K214+K216)*EXP(-J49*0.5)</f>
        <v>99.69760336955558</v>
      </c>
      <c r="L215">
        <v>100</v>
      </c>
    </row>
    <row r="216" spans="1:12" x14ac:dyDescent="0.25">
      <c r="G216">
        <f>0.5*(H215+H217)*EXP(-G50*0.5)</f>
        <v>99.447068674265381</v>
      </c>
      <c r="I216">
        <f>0.5*(J215+J217)*EXP(-I50*0.5)</f>
        <v>99.69892204648589</v>
      </c>
      <c r="K216">
        <f>0.5*(L215+L217)*EXP(-K50*0.5)</f>
        <v>99.91196478231214</v>
      </c>
    </row>
    <row r="217" spans="1:12" x14ac:dyDescent="0.25">
      <c r="H217">
        <f>0.5*(I216+I218)*EXP(-H51*0.5)</f>
        <v>99.712766802230021</v>
      </c>
      <c r="J217">
        <f>0.5*(K216+K218)*EXP(-J51*0.5)</f>
        <v>99.860959644605487</v>
      </c>
      <c r="L217">
        <v>100</v>
      </c>
    </row>
    <row r="218" spans="1:12" x14ac:dyDescent="0.25">
      <c r="I218">
        <f>0.5*(J217+J219)*EXP(-I52*0.5)</f>
        <v>99.861559412085455</v>
      </c>
      <c r="K218">
        <f>0.5*(L217+L219)*EXP(-K52*0.5)</f>
        <v>99.95954633093956</v>
      </c>
    </row>
    <row r="219" spans="1:12" x14ac:dyDescent="0.25">
      <c r="J219">
        <f>0.5*(K218+K220)*EXP(-J53*0.5)</f>
        <v>99.93609908334588</v>
      </c>
      <c r="L219">
        <v>100</v>
      </c>
    </row>
    <row r="220" spans="1:12" x14ac:dyDescent="0.25">
      <c r="K220">
        <f>0.5*(L219+L221)*EXP(-K54*0.5)</f>
        <v>99.98141324775986</v>
      </c>
    </row>
    <row r="221" spans="1:12" x14ac:dyDescent="0.25">
      <c r="L221">
        <v>100</v>
      </c>
    </row>
    <row r="225" spans="1:16" x14ac:dyDescent="0.25">
      <c r="M225">
        <v>100</v>
      </c>
      <c r="O225">
        <f>0.5*LN(L33/L35)/SQRT(0.5)</f>
        <v>0.65000086189592843</v>
      </c>
      <c r="P225">
        <f>(C13-O225)^2*100000</f>
        <v>7.4286459140230121E-8</v>
      </c>
    </row>
    <row r="226" spans="1:16" x14ac:dyDescent="0.25">
      <c r="L226">
        <f>0.5*(M225+M227)*EXP(-L33*0.5)</f>
        <v>14.018933451047525</v>
      </c>
      <c r="P226">
        <f>(D13-A237)^2*100000</f>
        <v>1.6760326509266281E-8</v>
      </c>
    </row>
    <row r="227" spans="1:16" x14ac:dyDescent="0.25">
      <c r="K227">
        <f>0.5*(L226+L228)*EXP(-K34*0.5)</f>
        <v>19.148571827410688</v>
      </c>
      <c r="M227">
        <v>100</v>
      </c>
      <c r="P227">
        <f>P225+P226</f>
        <v>9.1046785649496402E-8</v>
      </c>
    </row>
    <row r="228" spans="1:16" x14ac:dyDescent="0.25">
      <c r="J228">
        <f>0.5*(K227+K229)*EXP(-J35*0.5)</f>
        <v>23.178094051504708</v>
      </c>
      <c r="L228">
        <f>0.5*(M227+M229)*EXP(-L35*0.5)</f>
        <v>45.67632400419977</v>
      </c>
    </row>
    <row r="229" spans="1:16" x14ac:dyDescent="0.25">
      <c r="I229">
        <f>0.5*(J228+J230)*EXP(-I36*0.5)</f>
        <v>30.89114045344261</v>
      </c>
      <c r="K229">
        <f>0.5*(L228+L230)*EXP(-K36*0.5)</f>
        <v>48.457374968388372</v>
      </c>
      <c r="M229">
        <v>100</v>
      </c>
    </row>
    <row r="230" spans="1:16" x14ac:dyDescent="0.25">
      <c r="H230">
        <f>0.5*(I229+I231)*EXP(-H37*0.5)</f>
        <v>37.883733371814536</v>
      </c>
      <c r="J230">
        <f>0.5*(K229+K231)*EXP(-J37*0.5)</f>
        <v>51.274359111541983</v>
      </c>
      <c r="L230">
        <f>0.5*(M229+M231)*EXP(-L37*0.5)</f>
        <v>73.160613059205986</v>
      </c>
    </row>
    <row r="231" spans="1:16" x14ac:dyDescent="0.25">
      <c r="G231">
        <f>0.5*(H230+H232)*EXP(-G38*0.5)</f>
        <v>47.217815447484192</v>
      </c>
      <c r="I231">
        <f>0.5*(J230+J232)*EXP(-I38*0.5)</f>
        <v>57.722953918199622</v>
      </c>
      <c r="K231">
        <f>0.5*(L230+L232)*EXP(-K38*0.5)</f>
        <v>73.502412430842469</v>
      </c>
      <c r="M231">
        <v>100</v>
      </c>
    </row>
    <row r="232" spans="1:16" x14ac:dyDescent="0.25">
      <c r="F232">
        <f>0.5*(G231+G233)*EXP(-F39*0.5)</f>
        <v>55.577001637361818</v>
      </c>
      <c r="H232">
        <f>0.5*(I231+I233)*EXP(-H39*0.5)</f>
        <v>63.202849899329188</v>
      </c>
      <c r="J232">
        <f>0.5*(K231+K233)*EXP(-J39*0.5)</f>
        <v>74.501565550240116</v>
      </c>
      <c r="L232">
        <f>0.5*(M231+M233)*EXP(-L39*0.5)</f>
        <v>88.281725580243545</v>
      </c>
    </row>
    <row r="233" spans="1:16" x14ac:dyDescent="0.25">
      <c r="E233">
        <f>0.5*(F232+F234)*EXP(-E40*0.5)</f>
        <v>63.722368233142049</v>
      </c>
      <c r="G233">
        <f>0.5*(H232+H234)*EXP(-G40*0.5)</f>
        <v>69.801149049968714</v>
      </c>
      <c r="I233">
        <f>0.5*(J232+J234)*EXP(-I40*0.5)</f>
        <v>78.113258674084292</v>
      </c>
      <c r="K233">
        <f>0.5*(L232+L234)*EXP(-K40*0.5)</f>
        <v>87.85263252976992</v>
      </c>
      <c r="M233">
        <v>100</v>
      </c>
    </row>
    <row r="234" spans="1:16" x14ac:dyDescent="0.25">
      <c r="D234">
        <f>0.5*(E233+E235)*EXP(-D41*0.5)</f>
        <v>70.491710352891332</v>
      </c>
      <c r="F234">
        <f>0.5*(G233+G235)*EXP(-F41*0.5)</f>
        <v>75.326409777629394</v>
      </c>
      <c r="H234">
        <f>0.5*(I233+I235)*EXP(-H41*0.5)</f>
        <v>81.163676519848309</v>
      </c>
      <c r="J234">
        <f>0.5*(K233+K235)*EXP(-J41*0.5)</f>
        <v>87.998465234291373</v>
      </c>
      <c r="L234">
        <f>0.5*(M233+M235)*EXP(-L41*0.5)</f>
        <v>95.150722128625404</v>
      </c>
    </row>
    <row r="235" spans="1:16" x14ac:dyDescent="0.25">
      <c r="C235">
        <f>0.5*(D234+D236)*EXP(-C42*0.5)</f>
        <v>76.377537229447185</v>
      </c>
      <c r="E235">
        <f>0.5*(F234+F236)*EXP(-E42*0.5)</f>
        <v>80.414960798378672</v>
      </c>
      <c r="G235">
        <f>0.5*(H234+H236)*EXP(-G42*0.5)</f>
        <v>84.720045552897588</v>
      </c>
      <c r="I235">
        <f>0.5*(J234+J236)*EXP(-I42*0.5)</f>
        <v>89.669636981000366</v>
      </c>
      <c r="K235">
        <f>0.5*(L234+L236)*EXP(-K42*0.5)</f>
        <v>94.702771975440726</v>
      </c>
      <c r="M235">
        <v>100</v>
      </c>
    </row>
    <row r="236" spans="1:16" x14ac:dyDescent="0.25">
      <c r="B236">
        <f>0.5*(C235+C237)*EXP(-B43*0.5)</f>
        <v>81.309599283856059</v>
      </c>
      <c r="D236">
        <f>0.5*(E235+E237)*EXP(-D43*0.5)</f>
        <v>84.350227698307066</v>
      </c>
      <c r="F236">
        <f>0.5*(G235+G237)*EXP(-F43*0.5)</f>
        <v>87.641005146425798</v>
      </c>
      <c r="H236">
        <f>0.5*(I235+I237)*EXP(-H43*0.5)</f>
        <v>91.103338297467076</v>
      </c>
      <c r="J236">
        <f>0.5*(K235+K237)*EXP(-J43*0.5)</f>
        <v>94.61411188919287</v>
      </c>
      <c r="L236">
        <f>0.5*(M235+M237)*EXP(-L43*0.5)</f>
        <v>98.037057015923196</v>
      </c>
    </row>
    <row r="237" spans="1:16" x14ac:dyDescent="0.25">
      <c r="A237">
        <f>0.5*(B236+B238)*EXP(-A44*0.5)</f>
        <v>85.555919446495622</v>
      </c>
      <c r="C237">
        <f>0.5*(D236+D238)*EXP(-C44*0.5)</f>
        <v>87.666301137410699</v>
      </c>
      <c r="E237">
        <f>0.5*(F236+F238)*EXP(-E44*0.5)</f>
        <v>90.300722319821389</v>
      </c>
      <c r="G237">
        <f>0.5*(H236+H238)*EXP(-G44*0.5)</f>
        <v>92.766904115062744</v>
      </c>
      <c r="I237">
        <f>0.5*(J236+J238)*EXP(-I44*0.5)</f>
        <v>95.325166487753975</v>
      </c>
      <c r="K237">
        <f>0.5*(L236+L238)*EXP(-K44*0.5)</f>
        <v>97.732960060849365</v>
      </c>
      <c r="M237">
        <v>100</v>
      </c>
    </row>
    <row r="238" spans="1:16" x14ac:dyDescent="0.25">
      <c r="B238">
        <f>0.5*(C237+C239)*EXP(-B45*0.5)</f>
        <v>90.367841407165287</v>
      </c>
      <c r="D238">
        <f>0.5*(E237+E239)*EXP(-D45*0.5)</f>
        <v>92.263974234278237</v>
      </c>
      <c r="F238">
        <f>0.5*(G237+G239)*EXP(-F45*0.5)</f>
        <v>94.139974560357999</v>
      </c>
      <c r="H238">
        <f>0.5*(I237+I239)*EXP(-H45*0.5)</f>
        <v>95.950328444925674</v>
      </c>
      <c r="J238">
        <f>0.5*(K237+K239)*EXP(-J45*0.5)</f>
        <v>97.627033788665102</v>
      </c>
      <c r="L238">
        <f>0.5*(M237+M239)*EXP(-L45*0.5)</f>
        <v>99.212466890590022</v>
      </c>
    </row>
    <row r="239" spans="1:16" x14ac:dyDescent="0.25">
      <c r="C239">
        <f>0.5*(D238+D240)*EXP(-C46*0.5)</f>
        <v>93.91750107390331</v>
      </c>
      <c r="E239">
        <f>0.5*(F238+F240)*EXP(-E46*0.5)</f>
        <v>95.4070914470676</v>
      </c>
      <c r="G239">
        <f>0.5*(H238+H240)*EXP(-G46*0.5)</f>
        <v>96.677151771584747</v>
      </c>
      <c r="I239">
        <f>0.5*(J238+J240)*EXP(-I46*0.5)</f>
        <v>97.918987437936039</v>
      </c>
      <c r="K239">
        <f>0.5*(L238+L240)*EXP(-K46*0.5)</f>
        <v>99.034679175825943</v>
      </c>
      <c r="M239">
        <v>100</v>
      </c>
    </row>
    <row r="240" spans="1:16" x14ac:dyDescent="0.25">
      <c r="D240">
        <f>0.5*(E239+E241)*EXP(-D47*0.5)</f>
        <v>96.306712344840648</v>
      </c>
      <c r="F240">
        <f>0.5*(G239+G241)*EXP(-F47*0.5)</f>
        <v>97.287674429341294</v>
      </c>
      <c r="H240">
        <f>0.5*(I239+I241)*EXP(-H47*0.5)</f>
        <v>98.183342599168313</v>
      </c>
      <c r="J240">
        <f>0.5*(K239+K241)*EXP(-J47*0.5)</f>
        <v>98.959973390162901</v>
      </c>
      <c r="L240">
        <f>0.5*(M239+M241)*EXP(-L47*0.5)</f>
        <v>99.685167800428459</v>
      </c>
    </row>
    <row r="241" spans="5:17" x14ac:dyDescent="0.25">
      <c r="E241">
        <f>0.5*(F240+F242)*EXP(-E48*0.5)</f>
        <v>97.866378821388153</v>
      </c>
      <c r="G241">
        <f>0.5*(H240+H242)*EXP(-G48*0.5)</f>
        <v>98.490447254993285</v>
      </c>
      <c r="I241">
        <f>0.5*(J240+J242)*EXP(-I48*0.5)</f>
        <v>99.078083472771638</v>
      </c>
      <c r="K241">
        <f>0.5*(L240+L242)*EXP(-K48*0.5)</f>
        <v>99.588636760301256</v>
      </c>
      <c r="M241">
        <v>100</v>
      </c>
    </row>
    <row r="242" spans="5:17" x14ac:dyDescent="0.25">
      <c r="F242">
        <f>0.5*(G241+G243)*EXP(-F49*0.5)</f>
        <v>98.75510871089223</v>
      </c>
      <c r="H242">
        <f>0.5*(I241+I243)*EXP(-H49*0.5)</f>
        <v>99.18864203857288</v>
      </c>
      <c r="J242">
        <f>0.5*(K241+K243)*EXP(-J49*0.5)</f>
        <v>99.544019103958831</v>
      </c>
      <c r="L242">
        <f>0.5*(M241+M243)*EXP(-L49*0.5)</f>
        <v>99.874318961364025</v>
      </c>
    </row>
    <row r="243" spans="5:17" x14ac:dyDescent="0.25">
      <c r="G243">
        <f>0.5*(H242+H244)*EXP(-G50*0.5)</f>
        <v>99.315966668101581</v>
      </c>
      <c r="I243">
        <f>0.5*(J242+J244)*EXP(-I50*0.5)</f>
        <v>99.591516257491591</v>
      </c>
      <c r="K243">
        <f>0.5*(L242+L244)*EXP(-K50*0.5)</f>
        <v>99.824129999578105</v>
      </c>
      <c r="M243">
        <v>100</v>
      </c>
    </row>
    <row r="244" spans="5:17" x14ac:dyDescent="0.25">
      <c r="H244">
        <f>0.5*(I243+I245)*EXP(-H51*0.5)</f>
        <v>99.637644078357056</v>
      </c>
      <c r="J244">
        <f>0.5*(K243+K245)*EXP(-J51*0.5)</f>
        <v>99.799559189493692</v>
      </c>
      <c r="L244">
        <f>0.5*(M243+M245)*EXP(-L51*0.5)</f>
        <v>99.949856685816144</v>
      </c>
    </row>
    <row r="245" spans="5:17" x14ac:dyDescent="0.25">
      <c r="I245">
        <f>0.5*(J244+J246)*EXP(-I52*0.5)</f>
        <v>99.818618084804243</v>
      </c>
      <c r="K245">
        <f>0.5*(L244+L246)*EXP(-K52*0.5)</f>
        <v>99.92448822550277</v>
      </c>
      <c r="M245">
        <v>100</v>
      </c>
    </row>
    <row r="246" spans="5:17" x14ac:dyDescent="0.25">
      <c r="J246">
        <f>0.5*(K245+K247)*EXP(-J53*0.5)</f>
        <v>99.911585089102246</v>
      </c>
      <c r="L246">
        <f>0.5*(M245+M247)*EXP(-L53*0.5)</f>
        <v>99.9799987272512</v>
      </c>
    </row>
    <row r="247" spans="5:17" x14ac:dyDescent="0.25">
      <c r="K247">
        <f>0.5*(L246+L248)*EXP(-K54*0.5)</f>
        <v>99.967426497762659</v>
      </c>
      <c r="M247">
        <v>100</v>
      </c>
    </row>
    <row r="248" spans="5:17" x14ac:dyDescent="0.25">
      <c r="L248">
        <f>0.5*(M247+M249)*EXP(-L55*0.5)</f>
        <v>99.992022572422712</v>
      </c>
    </row>
    <row r="249" spans="5:17" x14ac:dyDescent="0.25">
      <c r="M249">
        <v>100</v>
      </c>
    </row>
    <row r="253" spans="5:17" x14ac:dyDescent="0.25">
      <c r="N253">
        <v>100</v>
      </c>
      <c r="P253">
        <f>0.5*LN(M32/M34)/SQRT(0.5)</f>
        <v>0.65000006611572236</v>
      </c>
      <c r="Q253">
        <f>(C14-P253)^2*1000000</f>
        <v>4.3712887407233317E-9</v>
      </c>
    </row>
    <row r="254" spans="5:17" x14ac:dyDescent="0.25">
      <c r="M254">
        <f>0.5*(N253+N255)*EXP(-M32*0.5)</f>
        <v>6.1801406224070616</v>
      </c>
      <c r="Q254">
        <f>(D14-A266)^2*10000</f>
        <v>5.3180335115627827E-11</v>
      </c>
    </row>
    <row r="255" spans="5:17" x14ac:dyDescent="0.25">
      <c r="L255">
        <f>0.5*(M254+M256)*EXP(-L33*0.5)</f>
        <v>2.7426416991411138</v>
      </c>
      <c r="N255">
        <v>100</v>
      </c>
      <c r="Q255">
        <f>Q253+Q254</f>
        <v>4.4244690758389595E-9</v>
      </c>
    </row>
    <row r="256" spans="5:17" x14ac:dyDescent="0.25">
      <c r="K256">
        <f>0.5*(L255+L257)*EXP(-K34*0.5)</f>
        <v>7.9983948474916646</v>
      </c>
      <c r="M256">
        <f>0.5*(N255+N257)*EXP(-M34*0.5)</f>
        <v>32.947539221685183</v>
      </c>
    </row>
    <row r="257" spans="1:14" x14ac:dyDescent="0.25">
      <c r="J257">
        <f>0.5*(K256+K258)*EXP(-J35*0.5)</f>
        <v>13.414939929450433</v>
      </c>
      <c r="L257">
        <f>0.5*(M256+M258)*EXP(-L35*0.5)</f>
        <v>22.192180801107064</v>
      </c>
      <c r="N257">
        <v>100</v>
      </c>
    </row>
    <row r="258" spans="1:14" x14ac:dyDescent="0.25">
      <c r="I258">
        <f>0.5*(J257+J259)*EXP(-I36*0.5)</f>
        <v>21.502280294740569</v>
      </c>
      <c r="K258">
        <f>0.5*(L257+L259)*EXP(-K36*0.5)</f>
        <v>31.130349436829203</v>
      </c>
      <c r="M258">
        <f>0.5*(N257+N259)*EXP(-M36*0.5)</f>
        <v>64.223944188698596</v>
      </c>
    </row>
    <row r="259" spans="1:14" x14ac:dyDescent="0.25">
      <c r="H259">
        <f>0.5*(I258+I260)*EXP(-H37*0.5)</f>
        <v>29.505288652271823</v>
      </c>
      <c r="J259">
        <f>0.5*(K258+K260)*EXP(-J37*0.5)</f>
        <v>38.408899949677917</v>
      </c>
      <c r="L259">
        <f>0.5*(M258+M260)*EXP(-L37*0.5)</f>
        <v>54.151933571569188</v>
      </c>
      <c r="N259">
        <v>100</v>
      </c>
    </row>
    <row r="260" spans="1:14" x14ac:dyDescent="0.25">
      <c r="G260">
        <f>0.5*(H259+H261)*EXP(-G38*0.5)</f>
        <v>39.591447008540833</v>
      </c>
      <c r="I260">
        <f>0.5*(J259+J261)*EXP(-I38*0.5)</f>
        <v>47.513737937512346</v>
      </c>
      <c r="K260">
        <f>0.5*(L259+L261)*EXP(-K38*0.5)</f>
        <v>60.228008878498613</v>
      </c>
      <c r="M260">
        <f>0.5*(N259+N261)*EXP(-M38*0.5)</f>
        <v>83.811812503898196</v>
      </c>
    </row>
    <row r="261" spans="1:14" x14ac:dyDescent="0.25">
      <c r="F261">
        <f>0.5*(G260+G262)*EXP(-F39*0.5)</f>
        <v>48.977302537279165</v>
      </c>
      <c r="H261">
        <f>0.5*(I260+I262)*EXP(-H39*0.5)</f>
        <v>55.254331565761284</v>
      </c>
      <c r="J261">
        <f>0.5*(K260+K262)*EXP(-J39*0.5)</f>
        <v>65.121566140069362</v>
      </c>
      <c r="L261">
        <f>0.5*(M260+M262)*EXP(-L39*0.5)</f>
        <v>78.134208928732122</v>
      </c>
      <c r="N261">
        <v>100</v>
      </c>
    </row>
    <row r="262" spans="1:14" x14ac:dyDescent="0.25">
      <c r="E262">
        <f>0.5*(F261+F263)*EXP(-E40*0.5)</f>
        <v>58.145783187907142</v>
      </c>
      <c r="G262">
        <f>0.5*(H261+H263)*EXP(-G40*0.5)</f>
        <v>63.531662514122118</v>
      </c>
      <c r="I262">
        <f>0.5*(J261+J263)*EXP(-I40*0.5)</f>
        <v>71.239437610208554</v>
      </c>
      <c r="K262">
        <f>0.5*(L261+L263)*EXP(-K40*0.5)</f>
        <v>80.811889475724897</v>
      </c>
      <c r="M262">
        <f>0.5*(N261+N263)*EXP(-M40*0.5)</f>
        <v>93.199247067455929</v>
      </c>
    </row>
    <row r="263" spans="1:14" x14ac:dyDescent="0.25">
      <c r="D263">
        <f>0.5*(E262+E264)*EXP(-D41*0.5)</f>
        <v>65.940789794536713</v>
      </c>
      <c r="F263">
        <f>0.5*(G262+G264)*EXP(-F41*0.5)</f>
        <v>70.470257083311836</v>
      </c>
      <c r="H263">
        <f>0.5*(I262+I264)*EXP(-H41*0.5)</f>
        <v>76.145302389166986</v>
      </c>
      <c r="J263">
        <f>0.5*(K262+K264)*EXP(-J41*0.5)</f>
        <v>83.078765035876287</v>
      </c>
      <c r="L263">
        <f>0.5*(M262+M264)*EXP(-L41*0.5)</f>
        <v>90.59747575342783</v>
      </c>
      <c r="N263">
        <v>100</v>
      </c>
    </row>
    <row r="264" spans="1:14" x14ac:dyDescent="0.25">
      <c r="C264">
        <f>0.5*(D263+D265)*EXP(-C42*0.5)</f>
        <v>72.743635419047692</v>
      </c>
      <c r="E264">
        <f>0.5*(F263+F265)*EXP(-E42*0.5)</f>
        <v>76.686089490915393</v>
      </c>
      <c r="G264">
        <f>0.5*(H263+H265)*EXP(-G42*0.5)</f>
        <v>81.027839798947483</v>
      </c>
      <c r="I264">
        <f>0.5*(J263+J265)*EXP(-I42*0.5)</f>
        <v>86.169391969636465</v>
      </c>
      <c r="K264">
        <f>0.5*(L263+L265)*EXP(-K42*0.5)</f>
        <v>91.537452260381329</v>
      </c>
      <c r="M264">
        <f>0.5*(N263+N265)*EXP(-M42*0.5)</f>
        <v>97.230155309454119</v>
      </c>
    </row>
    <row r="265" spans="1:14" x14ac:dyDescent="0.25">
      <c r="B265">
        <f>0.5*(C264+C266)*EXP(-B43*0.5)</f>
        <v>78.464378973984708</v>
      </c>
      <c r="D265">
        <f>0.5*(E264+E266)*EXP(-D43*0.5)</f>
        <v>81.534055529913275</v>
      </c>
      <c r="F265">
        <f>0.5*(G264+G266)*EXP(-F43*0.5)</f>
        <v>84.940298874096612</v>
      </c>
      <c r="H265">
        <f>0.5*(I264+I266)*EXP(-H43*0.5)</f>
        <v>88.614100042279645</v>
      </c>
      <c r="J265">
        <f>0.5*(K264+K266)*EXP(-J43*0.5)</f>
        <v>92.405549014297918</v>
      </c>
      <c r="L265">
        <f>0.5*(M264+M266)*EXP(-L43*0.5)</f>
        <v>96.13324755971</v>
      </c>
      <c r="N265">
        <v>100</v>
      </c>
    </row>
    <row r="266" spans="1:14" x14ac:dyDescent="0.25">
      <c r="A266">
        <f>0.5*(B265+B267)*EXP(-A44*0.5)</f>
        <v>83.360134114498379</v>
      </c>
      <c r="C266">
        <f>0.5*(D265+D267)*EXP(-C44*0.5)</f>
        <v>85.559910722273301</v>
      </c>
      <c r="E266">
        <f>0.5*(F265+F267)*EXP(-E44*0.5)</f>
        <v>88.329967572624227</v>
      </c>
      <c r="G266">
        <f>0.5*(H265+H267)*EXP(-G44*0.5)</f>
        <v>90.989750892310369</v>
      </c>
      <c r="I266">
        <f>0.5*(J265+J267)*EXP(-I44*0.5)</f>
        <v>93.770754332750286</v>
      </c>
      <c r="K266">
        <f>0.5*(L265+L267)*EXP(-K44*0.5)</f>
        <v>96.406281646958121</v>
      </c>
      <c r="M266">
        <f>0.5*(N265+N267)*EXP(-M44*0.5)</f>
        <v>98.885987883412284</v>
      </c>
    </row>
    <row r="267" spans="1:14" x14ac:dyDescent="0.25">
      <c r="B267">
        <f>0.5*(C266+C268)*EXP(-B45*0.5)</f>
        <v>88.806974931423653</v>
      </c>
      <c r="D267">
        <f>0.5*(E266+E268)*EXP(-D45*0.5)</f>
        <v>90.836572106719615</v>
      </c>
      <c r="F267">
        <f>0.5*(G266+G268)*EXP(-F45*0.5)</f>
        <v>92.87342874982474</v>
      </c>
      <c r="H267">
        <f>0.5*(I266+I268)*EXP(-H45*0.5)</f>
        <v>94.856144036071498</v>
      </c>
      <c r="J267">
        <f>0.5*(K266+K268)*EXP(-J45*0.5)</f>
        <v>96.700831894259707</v>
      </c>
      <c r="L267">
        <f>0.5*(M266+M268)*EXP(-L45*0.5)</f>
        <v>98.438707946601625</v>
      </c>
      <c r="N267">
        <v>100</v>
      </c>
    </row>
    <row r="268" spans="1:14" x14ac:dyDescent="0.25">
      <c r="C268">
        <f>0.5*(D267+D269)*EXP(-C46*0.5)</f>
        <v>92.887509508505048</v>
      </c>
      <c r="E268">
        <f>0.5*(F267+F269)*EXP(-E46*0.5)</f>
        <v>94.504788419818325</v>
      </c>
      <c r="G268">
        <f>0.5*(H267+H269)*EXP(-G46*0.5)</f>
        <v>95.905551646631224</v>
      </c>
      <c r="I268">
        <f>0.5*(J267+J269)*EXP(-I46*0.5)</f>
        <v>97.269709999015348</v>
      </c>
      <c r="K268">
        <f>0.5*(L267+L269)*EXP(-K46*0.5)</f>
        <v>98.494594326037614</v>
      </c>
      <c r="M268">
        <f>0.5*(N267+N269)*EXP(-M46*0.5)</f>
        <v>99.554210272648731</v>
      </c>
    </row>
    <row r="269" spans="1:14" x14ac:dyDescent="0.25">
      <c r="D269">
        <f>0.5*(E268+E270)*EXP(-D47*0.5)</f>
        <v>95.66606310351743</v>
      </c>
      <c r="F269">
        <f>0.5*(G268+G270)*EXP(-F47*0.5)</f>
        <v>96.743812391119945</v>
      </c>
      <c r="H269">
        <f>0.5*(I268+I270)*EXP(-H47*0.5)</f>
        <v>97.728106466660051</v>
      </c>
      <c r="J269">
        <f>0.5*(K268+K270)*EXP(-J47*0.5)</f>
        <v>98.58265375227046</v>
      </c>
      <c r="L269">
        <f>0.5*(M268+M270)*EXP(-L47*0.5)</f>
        <v>99.374240046289273</v>
      </c>
      <c r="N269">
        <v>100</v>
      </c>
    </row>
    <row r="270" spans="1:14" x14ac:dyDescent="0.25">
      <c r="E270">
        <f>0.5*(F269+F271)*EXP(-E48*0.5)</f>
        <v>97.482992626353195</v>
      </c>
      <c r="G270">
        <f>0.5*(H269+H271)*EXP(-G48*0.5)</f>
        <v>98.171012479339225</v>
      </c>
      <c r="I270">
        <f>0.5*(J269+J271)*EXP(-I48*0.5)</f>
        <v>98.813965805121512</v>
      </c>
      <c r="K270">
        <f>0.5*(L269+L271)*EXP(-K48*0.5)</f>
        <v>99.371400492484412</v>
      </c>
      <c r="M270">
        <f>0.5*(N269+N271)*EXP(-M48*0.5)</f>
        <v>99.82197023444202</v>
      </c>
    </row>
    <row r="271" spans="1:14" x14ac:dyDescent="0.25">
      <c r="F271">
        <f>0.5*(G270+G272)*EXP(-F49*0.5)</f>
        <v>98.530983851086347</v>
      </c>
      <c r="H271">
        <f>0.5*(I270+I272)*EXP(-H49*0.5)</f>
        <v>99.00374019435003</v>
      </c>
      <c r="J271">
        <f>0.5*(K270+K272)*EXP(-J49*0.5)</f>
        <v>99.392176189658841</v>
      </c>
      <c r="L271">
        <f>0.5*(M270+M272)*EXP(-L49*0.5)</f>
        <v>99.749940444408054</v>
      </c>
      <c r="N271">
        <v>100</v>
      </c>
    </row>
    <row r="272" spans="1:14" x14ac:dyDescent="0.25">
      <c r="G272">
        <f>0.5*(H271+H273)*EXP(-G50*0.5)</f>
        <v>99.186479505762478</v>
      </c>
      <c r="I272">
        <f>0.5*(J271+J273)*EXP(-I50*0.5)</f>
        <v>99.485285318424673</v>
      </c>
      <c r="K272">
        <f>0.5*(L271+L273)*EXP(-K50*0.5)</f>
        <v>99.737185102860877</v>
      </c>
      <c r="M272">
        <f>0.5*(N271+N273)*EXP(-M50*0.5)</f>
        <v>99.928959697797922</v>
      </c>
    </row>
    <row r="273" spans="8:18" x14ac:dyDescent="0.25">
      <c r="H273">
        <f>0.5*(I272+I274)*EXP(-H51*0.5)</f>
        <v>99.563318202693338</v>
      </c>
      <c r="J273">
        <f>0.5*(K272+K274)*EXP(-J51*0.5)</f>
        <v>99.738768976848206</v>
      </c>
      <c r="L273">
        <f>0.5*(M272+M274)*EXP(-L51*0.5)</f>
        <v>99.900192190192655</v>
      </c>
      <c r="N273">
        <v>100</v>
      </c>
    </row>
    <row r="274" spans="8:18" x14ac:dyDescent="0.25">
      <c r="I274">
        <f>0.5*(J273+J275)*EXP(-I52*0.5)</f>
        <v>99.77609668244132</v>
      </c>
      <c r="K274">
        <f>0.5*(L273+L275)*EXP(-K52*0.5)</f>
        <v>99.88976163312563</v>
      </c>
      <c r="M274">
        <f>0.5*(N273+N275)*EXP(-M52*0.5)</f>
        <v>99.971661479119618</v>
      </c>
    </row>
    <row r="275" spans="8:18" x14ac:dyDescent="0.25">
      <c r="J275">
        <f>0.5*(K274+K276)*EXP(-J53*0.5)</f>
        <v>99.887301013151443</v>
      </c>
      <c r="L275">
        <f>0.5*(M274+M276)*EXP(-L53*0.5)</f>
        <v>99.960181930388288</v>
      </c>
      <c r="N275">
        <v>100</v>
      </c>
    </row>
    <row r="276" spans="8:18" x14ac:dyDescent="0.25">
      <c r="K276">
        <f>0.5*(L275+L277)*EXP(-K54*0.5)</f>
        <v>99.953568229487644</v>
      </c>
      <c r="M276">
        <f>0.5*(N275+N277)*EXP(-M54*0.5)</f>
        <v>99.988696998345532</v>
      </c>
    </row>
    <row r="277" spans="8:18" x14ac:dyDescent="0.25">
      <c r="L277">
        <f>0.5*(M276+M278)*EXP(-L55*0.5)</f>
        <v>99.984117680173924</v>
      </c>
      <c r="N277">
        <v>100</v>
      </c>
    </row>
    <row r="278" spans="8:18" x14ac:dyDescent="0.25">
      <c r="M278">
        <f>0.5*(N277+N279)*EXP(-M56*0.5)</f>
        <v>99.995491955842169</v>
      </c>
    </row>
    <row r="279" spans="8:18" x14ac:dyDescent="0.25">
      <c r="N279">
        <v>100</v>
      </c>
    </row>
    <row r="283" spans="8:18" x14ac:dyDescent="0.25">
      <c r="O283">
        <v>100</v>
      </c>
      <c r="Q283">
        <f>0.5*LN(N31/N33)/SQRT(0.5)</f>
        <v>0.64999996856779163</v>
      </c>
      <c r="R283">
        <f>(Q283-C15)^2*1000000</f>
        <v>9.8798372437518135E-10</v>
      </c>
    </row>
    <row r="284" spans="8:18" x14ac:dyDescent="0.25">
      <c r="N284">
        <f>0.5*(O283+O285)*EXP(-N31*0.5)</f>
        <v>2.8405792732333457</v>
      </c>
      <c r="R284">
        <f>(D15-A297)^2*10000</f>
        <v>1.8687727555775415E-8</v>
      </c>
    </row>
    <row r="285" spans="8:18" x14ac:dyDescent="0.25">
      <c r="M285">
        <f>0.5*(N284+N286)*EXP(-M32*0.5)</f>
        <v>0.83448631062549494</v>
      </c>
      <c r="O285">
        <v>100</v>
      </c>
      <c r="R285">
        <f>R283+R284</f>
        <v>1.9675711280150596E-8</v>
      </c>
    </row>
    <row r="286" spans="8:18" x14ac:dyDescent="0.25">
      <c r="L286">
        <f>0.5*(M285+M287)*EXP(-L33*0.5)</f>
        <v>0.9928868273365693</v>
      </c>
      <c r="N286">
        <f>0.5*(O285+O287)*EXP(-N33*0.5)</f>
        <v>24.164835703893065</v>
      </c>
    </row>
    <row r="287" spans="8:18" x14ac:dyDescent="0.25">
      <c r="K287">
        <f>0.5*(L286+L288)*EXP(-K34*0.5)</f>
        <v>4.5069756582095346</v>
      </c>
      <c r="M287">
        <f>0.5*(N286+N288)*EXP(-M34*0.5)</f>
        <v>13.330454707228879</v>
      </c>
      <c r="O287">
        <v>100</v>
      </c>
    </row>
    <row r="288" spans="8:18" x14ac:dyDescent="0.25">
      <c r="J288">
        <f>0.5*(K287+K289)*EXP(-J35*0.5)</f>
        <v>9.2807391395609304</v>
      </c>
      <c r="L288">
        <f>0.5*(M287+M289)*EXP(-L35*0.5)</f>
        <v>13.057512058089429</v>
      </c>
      <c r="N288">
        <f>0.5*(O287+O289)*EXP(-N35*0.5)</f>
        <v>56.75443791794472</v>
      </c>
    </row>
    <row r="289" spans="1:15" x14ac:dyDescent="0.25">
      <c r="I289">
        <f>0.5*(J288+J290)*EXP(-I36*0.5)</f>
        <v>16.727336434470871</v>
      </c>
      <c r="K289">
        <f>0.5*(L288+L290)*EXP(-K36*0.5)</f>
        <v>22.56311712425174</v>
      </c>
      <c r="M289">
        <f>0.5*(N288+N290)*EXP(-M36*0.5)</f>
        <v>43.843638623437741</v>
      </c>
      <c r="O289">
        <v>100</v>
      </c>
    </row>
    <row r="290" spans="1:15" x14ac:dyDescent="0.25">
      <c r="H290">
        <f>0.5*(I289+I291)*EXP(-H37*0.5)</f>
        <v>24.69792965344061</v>
      </c>
      <c r="J290">
        <f>0.5*(K289+K291)*EXP(-J37*0.5)</f>
        <v>31.034743362839741</v>
      </c>
      <c r="L290">
        <f>0.5*(M289+M291)*EXP(-L37*0.5)</f>
        <v>42.276309293111474</v>
      </c>
      <c r="N290">
        <f>0.5*(O289+O291)*EXP(-N37*0.5)</f>
        <v>79.779184167361123</v>
      </c>
    </row>
    <row r="291" spans="1:15" x14ac:dyDescent="0.25">
      <c r="G291">
        <f>0.5*(H290+H292)*EXP(-G38*0.5)</f>
        <v>34.820022767701197</v>
      </c>
      <c r="I291">
        <f>0.5*(J290+J292)*EXP(-I38*0.5)</f>
        <v>41.043756177073924</v>
      </c>
      <c r="K291">
        <f>0.5*(L290+L292)*EXP(-K38*0.5)</f>
        <v>51.255274136139732</v>
      </c>
      <c r="M291">
        <f>0.5*(N290+N292)*EXP(-M38*0.5)</f>
        <v>71.727588913704224</v>
      </c>
      <c r="O291">
        <v>100</v>
      </c>
    </row>
    <row r="292" spans="1:15" x14ac:dyDescent="0.25">
      <c r="F292">
        <f>0.5*(G291+G293)*EXP(-F39*0.5)</f>
        <v>44.575695411641767</v>
      </c>
      <c r="H292">
        <f>0.5*(I291+I293)*EXP(-H39*0.5)</f>
        <v>49.8467543318895</v>
      </c>
      <c r="J292">
        <f>0.5*(K291+K293)*EXP(-J39*0.5)</f>
        <v>58.39790057426417</v>
      </c>
      <c r="L292">
        <f>0.5*(M291+M293)*EXP(-L39*0.5)</f>
        <v>70.301918420572363</v>
      </c>
      <c r="N292">
        <f>0.5*(O291+O293)*EXP(-N39*0.5)</f>
        <v>91.384251560432219</v>
      </c>
    </row>
    <row r="293" spans="1:15" x14ac:dyDescent="0.25">
      <c r="E293">
        <f>0.5*(F292+F294)*EXP(-E40*0.5)</f>
        <v>54.23834377459562</v>
      </c>
      <c r="G293">
        <f>0.5*(H292+H294)*EXP(-G40*0.5)</f>
        <v>59.035377220584152</v>
      </c>
      <c r="I293">
        <f>0.5*(J292+J294)*EXP(-I40*0.5)</f>
        <v>66.087398972525676</v>
      </c>
      <c r="K293">
        <f>0.5*(L292+L294)*EXP(-K40*0.5)</f>
        <v>75.222549560216123</v>
      </c>
      <c r="M293">
        <f>0.5*(N292+N294)*EXP(-M40*0.5)</f>
        <v>87.539616067855732</v>
      </c>
      <c r="O293">
        <v>100</v>
      </c>
    </row>
    <row r="294" spans="1:15" x14ac:dyDescent="0.25">
      <c r="D294">
        <f>0.5*(E293+E295)*EXP(-D41*0.5)</f>
        <v>62.624870628777721</v>
      </c>
      <c r="F294">
        <f>0.5*(G293+G295)*EXP(-F41*0.5)</f>
        <v>66.844900314129006</v>
      </c>
      <c r="H294">
        <f>0.5*(I293+I295)*EXP(-H41*0.5)</f>
        <v>72.253418246650469</v>
      </c>
      <c r="J294">
        <f>0.5*(K293+K295)*EXP(-J41*0.5)</f>
        <v>79.084577430049222</v>
      </c>
      <c r="L294">
        <f>0.5*(M293+M295)*EXP(-L41*0.5)</f>
        <v>86.759469399040682</v>
      </c>
      <c r="N294">
        <f>0.5*(O293+O295)*EXP(-N41*0.5)</f>
        <v>96.470519421775691</v>
      </c>
    </row>
    <row r="295" spans="1:15" x14ac:dyDescent="0.25">
      <c r="C295">
        <f>0.5*(D294+D296)*EXP(-C42*0.5)</f>
        <v>70.010627829612716</v>
      </c>
      <c r="E295">
        <f>0.5*(F294+F296)*EXP(-E42*0.5)</f>
        <v>73.813331212267755</v>
      </c>
      <c r="G295">
        <f>0.5*(H294+H296)*EXP(-G42*0.5)</f>
        <v>78.087231969748501</v>
      </c>
      <c r="I295">
        <f>0.5*(J294+J296)*EXP(-I42*0.5)</f>
        <v>83.276063283109465</v>
      </c>
      <c r="K295">
        <f>0.5*(L294+L296)*EXP(-K42*0.5)</f>
        <v>88.840732503029798</v>
      </c>
      <c r="M295">
        <f>0.5*(N294+N296)*EXP(-M42*0.5)</f>
        <v>94.822571960015736</v>
      </c>
      <c r="O295">
        <v>100</v>
      </c>
    </row>
    <row r="296" spans="1:15" x14ac:dyDescent="0.25">
      <c r="B296">
        <f>0.5*(C295+C297)*EXP(-B43*0.5)</f>
        <v>76.267973091691957</v>
      </c>
      <c r="D296">
        <f>0.5*(E295+E297)*EXP(-D43*0.5)</f>
        <v>79.309285545334106</v>
      </c>
      <c r="F296">
        <f>0.5*(G295+G297)*EXP(-F43*0.5)</f>
        <v>82.743778896405217</v>
      </c>
      <c r="H296">
        <f>0.5*(I295+I297)*EXP(-H43*0.5)</f>
        <v>86.526646836963408</v>
      </c>
      <c r="J296">
        <f>0.5*(K295+K297)*EXP(-J43*0.5)</f>
        <v>90.507461088509388</v>
      </c>
      <c r="L296">
        <f>0.5*(M295+M297)*EXP(-L43*0.5)</f>
        <v>94.470112922859116</v>
      </c>
      <c r="N296">
        <f>0.5*(O295+O297)*EXP(-N43*0.5)</f>
        <v>98.577141786260469</v>
      </c>
    </row>
    <row r="297" spans="1:15" x14ac:dyDescent="0.25">
      <c r="A297">
        <f>0.5*(B296+B298)*EXP(-A44*0.5)</f>
        <v>81.627825509591631</v>
      </c>
      <c r="C297">
        <f>0.5*(D296+D298)*EXP(-C44*0.5)</f>
        <v>83.86162293310241</v>
      </c>
      <c r="E297">
        <f>0.5*(F296+F298)*EXP(-E44*0.5)</f>
        <v>86.700033469020951</v>
      </c>
      <c r="G297">
        <f>0.5*(H296+H298)*EXP(-G44*0.5)</f>
        <v>89.482057038138237</v>
      </c>
      <c r="I297">
        <f>0.5*(J296+J298)*EXP(-I44*0.5)</f>
        <v>92.425292183679161</v>
      </c>
      <c r="K297">
        <f>0.5*(L296+L298)*EXP(-K44*0.5)</f>
        <v>95.242478569236866</v>
      </c>
      <c r="M297">
        <f>0.5*(N296+N298)*EXP(-M44*0.5)</f>
        <v>97.90070186799251</v>
      </c>
      <c r="O297">
        <v>100</v>
      </c>
    </row>
    <row r="298" spans="1:15" x14ac:dyDescent="0.25">
      <c r="B298">
        <f>0.5*(C297+C299)*EXP(-B45*0.5)</f>
        <v>87.527311481501357</v>
      </c>
      <c r="D298">
        <f>0.5*(E297+E299)*EXP(-D45*0.5)</f>
        <v>89.639939127506196</v>
      </c>
      <c r="F298">
        <f>0.5*(G297+G299)*EXP(-F45*0.5)</f>
        <v>91.788789833115302</v>
      </c>
      <c r="H298">
        <f>0.5*(I297+I299)*EXP(-H45*0.5)</f>
        <v>93.903508036749955</v>
      </c>
      <c r="J298">
        <f>0.5*(K297+K299)*EXP(-J45*0.5)</f>
        <v>95.885542078013557</v>
      </c>
      <c r="L298">
        <f>0.5*(M297+M299)*EXP(-L45*0.5)</f>
        <v>97.752997292585164</v>
      </c>
      <c r="N298">
        <f>0.5*(O297+O299)*EXP(-N45*0.5)</f>
        <v>99.430086464153661</v>
      </c>
    </row>
    <row r="299" spans="1:15" x14ac:dyDescent="0.25">
      <c r="C299">
        <f>0.5*(D298+D300)*EXP(-C46*0.5)</f>
        <v>92.014460512715246</v>
      </c>
      <c r="E299">
        <f>0.5*(F298+F300)*EXP(-E46*0.5)</f>
        <v>93.726154105516585</v>
      </c>
      <c r="G299">
        <f>0.5*(H298+H300)*EXP(-G46*0.5)</f>
        <v>95.23055534698149</v>
      </c>
      <c r="I299">
        <f>0.5*(J298+J300)*EXP(-I46*0.5)</f>
        <v>96.69656133484979</v>
      </c>
      <c r="K299">
        <f>0.5*(L298+L300)*EXP(-K46*0.5)</f>
        <v>98.015177834231338</v>
      </c>
      <c r="M299">
        <f>0.5*(N298+N300)*EXP(-M46*0.5)</f>
        <v>99.15718885129715</v>
      </c>
      <c r="O299">
        <v>100</v>
      </c>
    </row>
    <row r="300" spans="1:15" x14ac:dyDescent="0.25">
      <c r="D300">
        <f>0.5*(E299+E301)*EXP(-D47*0.5)</f>
        <v>95.109759232082027</v>
      </c>
      <c r="F300">
        <f>0.5*(G299+G301)*EXP(-F47*0.5)</f>
        <v>96.266176072846648</v>
      </c>
      <c r="H300">
        <f>0.5*(I299+I301)*EXP(-H47*0.5)</f>
        <v>97.325308351602786</v>
      </c>
      <c r="J300">
        <f>0.5*(K299+K301)*EXP(-J47*0.5)</f>
        <v>98.247261933575601</v>
      </c>
      <c r="L300">
        <f>0.5*(M299+M301)*EXP(-L47*0.5)</f>
        <v>99.097108117831738</v>
      </c>
      <c r="N300">
        <f>0.5*(O299+O301)*EXP(-N47*0.5)</f>
        <v>99.77231508116671</v>
      </c>
    </row>
    <row r="301" spans="1:15" x14ac:dyDescent="0.25">
      <c r="E301">
        <f>0.5*(F300+F302)*EXP(-E48*0.5)</f>
        <v>97.145206525729833</v>
      </c>
      <c r="G301">
        <f>0.5*(H300+H302)*EXP(-G48*0.5)</f>
        <v>97.887828475141745</v>
      </c>
      <c r="I301">
        <f>0.5*(J300+J302)*EXP(-I48*0.5)</f>
        <v>98.57893207567497</v>
      </c>
      <c r="K301">
        <f>0.5*(L300+L302)*EXP(-K48*0.5)</f>
        <v>99.177649511777588</v>
      </c>
      <c r="M301">
        <f>0.5*(N300+N302)*EXP(-M48*0.5)</f>
        <v>99.662977286610086</v>
      </c>
      <c r="O301">
        <v>100</v>
      </c>
    </row>
    <row r="302" spans="1:15" x14ac:dyDescent="0.25">
      <c r="F302">
        <f>0.5*(G301+G303)*EXP(-F49*0.5)</f>
        <v>98.331977914176719</v>
      </c>
      <c r="H302">
        <f>0.5*(I301+I303)*EXP(-H49*0.5)</f>
        <v>98.839045821720546</v>
      </c>
      <c r="J302">
        <f>0.5*(K301+K303)*EXP(-J49*0.5)</f>
        <v>99.25667543523744</v>
      </c>
      <c r="L302">
        <f>0.5*(M301+M303)*EXP(-L49*0.5)</f>
        <v>99.638826810648382</v>
      </c>
      <c r="N302">
        <f>0.5*(O301+O303)*EXP(-N49*0.5)</f>
        <v>99.909131903983905</v>
      </c>
    </row>
    <row r="303" spans="1:15" x14ac:dyDescent="0.25">
      <c r="G303">
        <f>0.5*(H302+H304)*EXP(-G50*0.5)</f>
        <v>99.071054757022026</v>
      </c>
      <c r="I303">
        <f>0.5*(J302+J304)*EXP(-I50*0.5)</f>
        <v>99.390444937129743</v>
      </c>
      <c r="K303">
        <f>0.5*(L302+L304)*EXP(-K50*0.5)</f>
        <v>99.659492549536765</v>
      </c>
      <c r="M303">
        <f>0.5*(N302+N304)*EXP(-M50*0.5)</f>
        <v>99.865445729106824</v>
      </c>
      <c r="O303">
        <v>100</v>
      </c>
    </row>
    <row r="304" spans="1:15" x14ac:dyDescent="0.25">
      <c r="H304">
        <f>0.5*(I303+I305)*EXP(-H51*0.5)</f>
        <v>99.496937201564037</v>
      </c>
      <c r="J304">
        <f>0.5*(K303+K305)*EXP(-J51*0.5)</f>
        <v>99.684436081933811</v>
      </c>
      <c r="L304">
        <f>0.5*(M303+M305)*EXP(-L51*0.5)</f>
        <v>99.855783803154566</v>
      </c>
      <c r="N304">
        <f>0.5*(O303+O305)*EXP(-N51*0.5)</f>
        <v>99.963749853450253</v>
      </c>
    </row>
    <row r="305" spans="9:19" x14ac:dyDescent="0.25">
      <c r="I305">
        <f>0.5*(J304+J306)*EXP(-I52*0.5)</f>
        <v>99.738085223697155</v>
      </c>
      <c r="K305">
        <f>0.5*(L304+L306)*EXP(-K52*0.5)</f>
        <v>99.85870700588643</v>
      </c>
      <c r="M305">
        <f>0.5*(N304+N306)*EXP(-M52*0.5)</f>
        <v>99.946314115717598</v>
      </c>
      <c r="O305">
        <v>100</v>
      </c>
    </row>
    <row r="306" spans="9:19" x14ac:dyDescent="0.25">
      <c r="J306">
        <f>0.5*(K305+K307)*EXP(-J53*0.5)</f>
        <v>99.865582845977968</v>
      </c>
      <c r="L306">
        <f>0.5*(M305+M307)*EXP(-L53*0.5)</f>
        <v>99.942455927307421</v>
      </c>
      <c r="N306">
        <f>0.5*(O305+O307)*EXP(-N53*0.5)</f>
        <v>99.985541049537687</v>
      </c>
    </row>
    <row r="307" spans="9:19" x14ac:dyDescent="0.25">
      <c r="K307">
        <f>0.5*(L306+L308)*EXP(-K54*0.5)</f>
        <v>99.941171579112606</v>
      </c>
      <c r="M307">
        <f>0.5*(N306+N308)*EXP(-M54*0.5)</f>
        <v>99.978585263314827</v>
      </c>
      <c r="O307">
        <v>100</v>
      </c>
    </row>
    <row r="308" spans="9:19" x14ac:dyDescent="0.25">
      <c r="L308">
        <f>0.5*(M307+M309)*EXP(-L55*0.5)</f>
        <v>99.977045773378649</v>
      </c>
      <c r="N308">
        <f>0.5*(O307+O309)*EXP(-N55*0.5)</f>
        <v>99.994233194283368</v>
      </c>
    </row>
    <row r="309" spans="9:19" x14ac:dyDescent="0.25">
      <c r="M309">
        <f>0.5*(N308+N310)*EXP(-M56*0.5)</f>
        <v>99.991458748879836</v>
      </c>
      <c r="O309">
        <v>100</v>
      </c>
    </row>
    <row r="310" spans="9:19" x14ac:dyDescent="0.25">
      <c r="N310">
        <f>0.5*(O309+O311)*EXP(-N57*0.5)</f>
        <v>99.99770002813807</v>
      </c>
    </row>
    <row r="311" spans="9:19" x14ac:dyDescent="0.25">
      <c r="O311">
        <v>100</v>
      </c>
    </row>
    <row r="315" spans="9:19" x14ac:dyDescent="0.25">
      <c r="P315">
        <v>100</v>
      </c>
      <c r="R315">
        <f>0.5*LN(O30/O32)/SQRT(0.5)</f>
        <v>0.65000102245924229</v>
      </c>
      <c r="S315">
        <f>(R315-C16)^2*1000000</f>
        <v>1.0454229021084772E-6</v>
      </c>
    </row>
    <row r="316" spans="9:19" x14ac:dyDescent="0.25">
      <c r="O316">
        <f>0.5*(P315+P317)*EXP(-O30*0.5)</f>
        <v>0.27270956464002855</v>
      </c>
      <c r="S316">
        <f>(D16-A330)^2*100000</f>
        <v>4.6656417198854246E-7</v>
      </c>
    </row>
    <row r="317" spans="9:19" x14ac:dyDescent="0.25">
      <c r="N317">
        <f>0.5*(O316+O318)*EXP(-N31*0.5)</f>
        <v>0.13866957451234382</v>
      </c>
      <c r="P317">
        <v>100</v>
      </c>
      <c r="S317">
        <f>S315+S316</f>
        <v>1.5119870740970196E-6</v>
      </c>
    </row>
    <row r="318" spans="9:19" x14ac:dyDescent="0.25">
      <c r="M318">
        <f>0.5*(N317+N319)*EXP(-M32*0.5)</f>
        <v>0.18568381393735148</v>
      </c>
      <c r="O318">
        <f>0.5*(P317+P319)*EXP(-O32*0.5)</f>
        <v>9.4907619792820981</v>
      </c>
    </row>
    <row r="319" spans="9:19" x14ac:dyDescent="0.25">
      <c r="L319">
        <f>0.5*(M318+M320)*EXP(-L33*0.5)</f>
        <v>0.43421806381244443</v>
      </c>
      <c r="N319">
        <f>0.5*(O318+O320)*EXP(-N33*0.5)</f>
        <v>5.8703786100589239</v>
      </c>
      <c r="P319">
        <v>100</v>
      </c>
    </row>
    <row r="320" spans="9:19" x14ac:dyDescent="0.25">
      <c r="K320">
        <f>0.5*(L319+L321)*EXP(-K34*0.5)</f>
        <v>2.7529102606853684</v>
      </c>
      <c r="M320">
        <f>0.5*(N319+N321)*EXP(-M34*0.5)</f>
        <v>6.0090536862966442</v>
      </c>
      <c r="O320">
        <f>0.5*(P319+P321)*EXP(-O34*0.5)</f>
        <v>39.095362768201113</v>
      </c>
    </row>
    <row r="321" spans="1:16" x14ac:dyDescent="0.25">
      <c r="J321">
        <f>0.5*(K320+K322)*EXP(-J35*0.5)</f>
        <v>6.6899039928873316</v>
      </c>
      <c r="L321">
        <f>0.5*(M320+M322)*EXP(-L35*0.5)</f>
        <v>8.1479199799012232</v>
      </c>
      <c r="N321">
        <f>0.5*(O320+O322)*EXP(-N35*0.5)</f>
        <v>30.60611601289396</v>
      </c>
      <c r="P321">
        <v>100</v>
      </c>
    </row>
    <row r="322" spans="1:16" x14ac:dyDescent="0.25">
      <c r="I322">
        <f>0.5*(J321+J323)*EXP(-I36*0.5)</f>
        <v>13.292663851684528</v>
      </c>
      <c r="K322">
        <f>0.5*(L321+L323)*EXP(-K36*0.5)</f>
        <v>16.760225392622718</v>
      </c>
      <c r="M322">
        <f>0.5*(N321+N323)*EXP(-M36*0.5)</f>
        <v>29.667722663534185</v>
      </c>
      <c r="O322">
        <f>0.5*(P321+P323)*EXP(-O36*0.5)</f>
        <v>68.759166800549536</v>
      </c>
    </row>
    <row r="323" spans="1:16" x14ac:dyDescent="0.25">
      <c r="H323">
        <f>0.5*(I322+I324)*EXP(-H37*0.5)</f>
        <v>20.902451096076383</v>
      </c>
      <c r="J323">
        <f>0.5*(K322+K324)*EXP(-J37*0.5)</f>
        <v>25.347483371339099</v>
      </c>
      <c r="L323">
        <f>0.5*(M322+M324)*EXP(-L37*0.5)</f>
        <v>32.954881223237152</v>
      </c>
      <c r="N323">
        <f>0.5*(O322+O324)*EXP(-N37*0.5)</f>
        <v>61.782238636787532</v>
      </c>
      <c r="P323">
        <v>100</v>
      </c>
    </row>
    <row r="324" spans="1:16" x14ac:dyDescent="0.25">
      <c r="G324">
        <f>0.5*(H323+H325)*EXP(-G38*0.5)</f>
        <v>30.786250194596864</v>
      </c>
      <c r="I324">
        <f>0.5*(J323+J325)*EXP(-I38*0.5)</f>
        <v>35.600399454595184</v>
      </c>
      <c r="K324">
        <f>0.5*(L323+L325)*EXP(-K38*0.5)</f>
        <v>43.530604890581728</v>
      </c>
      <c r="M324">
        <f>0.5*(N323+N325)*EXP(-M38*0.5)</f>
        <v>60.421410943282574</v>
      </c>
      <c r="O324">
        <f>0.5*(P323+P325)*EXP(-O38*0.5)</f>
        <v>86.123937812755329</v>
      </c>
    </row>
    <row r="325" spans="1:16" x14ac:dyDescent="0.25">
      <c r="F325">
        <f>0.5*(G324+G326)*EXP(-F39*0.5)</f>
        <v>40.657057480022246</v>
      </c>
      <c r="H325">
        <f>0.5*(I324+I326)*EXP(-H39*0.5)</f>
        <v>45.006503276529912</v>
      </c>
      <c r="J325">
        <f>0.5*(K324+K326)*EXP(-J39*0.5)</f>
        <v>52.224311829507947</v>
      </c>
      <c r="L325">
        <f>0.5*(M324+M326)*EXP(-L39*0.5)</f>
        <v>62.656710607679074</v>
      </c>
      <c r="N325">
        <f>0.5*(O324+O326)*EXP(-N39*0.5)</f>
        <v>82.40128189135352</v>
      </c>
      <c r="P325">
        <v>100</v>
      </c>
    </row>
    <row r="326" spans="1:16" x14ac:dyDescent="0.25">
      <c r="E326">
        <f>0.5*(F325+F327)*EXP(-E40*0.5)</f>
        <v>50.614779267826506</v>
      </c>
      <c r="G326">
        <f>0.5*(H325+H327)*EXP(-G40*0.5)</f>
        <v>54.818345693269144</v>
      </c>
      <c r="I326">
        <f>0.5*(J325+J327)*EXP(-I40*0.5)</f>
        <v>61.12803853267549</v>
      </c>
      <c r="K326">
        <f>0.5*(L325+L327)*EXP(-K40*0.5)</f>
        <v>69.576497236081408</v>
      </c>
      <c r="M326">
        <f>0.5*(N325+N327)*EXP(-M40*0.5)</f>
        <v>81.525770527988854</v>
      </c>
      <c r="O326">
        <f>0.5*(P325+P327)*EXP(-O40*0.5)</f>
        <v>94.216285987976306</v>
      </c>
    </row>
    <row r="327" spans="1:16" x14ac:dyDescent="0.25">
      <c r="D327">
        <f>0.5*(E326+E328)*EXP(-D41*0.5)</f>
        <v>59.446980488250972</v>
      </c>
      <c r="F327">
        <f>0.5*(G326+G328)*EXP(-F41*0.5)</f>
        <v>63.319732113451423</v>
      </c>
      <c r="H327">
        <f>0.5*(I326+I328)*EXP(-H41*0.5)</f>
        <v>68.371775727409954</v>
      </c>
      <c r="J327">
        <f>0.5*(K326+K328)*EXP(-J41*0.5)</f>
        <v>74.94114397106253</v>
      </c>
      <c r="L327">
        <f>0.5*(M326+M328)*EXP(-L41*0.5)</f>
        <v>82.615967324869061</v>
      </c>
      <c r="N327">
        <f>0.5*(O326+O328)*EXP(-N41*0.5)</f>
        <v>92.548136893075039</v>
      </c>
      <c r="P327">
        <v>100</v>
      </c>
    </row>
    <row r="328" spans="1:16" x14ac:dyDescent="0.25">
      <c r="C328">
        <f>0.5*(D327+D329)*EXP(-C42*0.5)</f>
        <v>67.319716338172512</v>
      </c>
      <c r="E328">
        <f>0.5*(F327+F329)*EXP(-E42*0.5)</f>
        <v>70.938931709963242</v>
      </c>
      <c r="G328">
        <f>0.5*(H327+H329)*EXP(-G42*0.5)</f>
        <v>75.072892678345568</v>
      </c>
      <c r="I328">
        <f>0.5*(J327+J329)*EXP(-I42*0.5)</f>
        <v>80.21122805192195</v>
      </c>
      <c r="K328">
        <f>0.5*(L327+L329)*EXP(-K42*0.5)</f>
        <v>85.891110242024368</v>
      </c>
      <c r="M328">
        <f>0.5*(N327+N329)*EXP(-M42*0.5)</f>
        <v>92.1270730377977</v>
      </c>
      <c r="O328">
        <f>0.5*(P327+P329)*EXP(-O42*0.5)</f>
        <v>97.651939554478346</v>
      </c>
    </row>
    <row r="329" spans="1:16" x14ac:dyDescent="0.25">
      <c r="B329">
        <f>0.5*(C328+C330)*EXP(-B43*0.5)</f>
        <v>74.056708673486682</v>
      </c>
      <c r="D329">
        <f>0.5*(E328+E330)*EXP(-D43*0.5)</f>
        <v>77.031828923276336</v>
      </c>
      <c r="F329">
        <f>0.5*(G328+G330)*EXP(-F43*0.5)</f>
        <v>80.443744277870579</v>
      </c>
      <c r="H329">
        <f>0.5*(I328+I330)*EXP(-H43*0.5)</f>
        <v>84.279028825385353</v>
      </c>
      <c r="J329">
        <f>0.5*(K328+K330)*EXP(-J43*0.5)</f>
        <v>88.409345246425659</v>
      </c>
      <c r="L329">
        <f>0.5*(M328+M330)*EXP(-L43*0.5)</f>
        <v>92.596568589278945</v>
      </c>
      <c r="N329">
        <f>0.5*(O328+O330)*EXP(-N43*0.5)</f>
        <v>96.954950383881666</v>
      </c>
      <c r="P329">
        <v>100</v>
      </c>
    </row>
    <row r="330" spans="1:16" x14ac:dyDescent="0.25">
      <c r="A330">
        <f>0.5*(B329+B331)*EXP(-A44*0.5)</f>
        <v>79.851624035947367</v>
      </c>
      <c r="C330">
        <f>0.5*(D329+D331)*EXP(-C44*0.5)</f>
        <v>82.091261635088898</v>
      </c>
      <c r="E330">
        <f>0.5*(F329+F331)*EXP(-E44*0.5)</f>
        <v>84.96510856739782</v>
      </c>
      <c r="G330">
        <f>0.5*(H329+H331)*EXP(-G44*0.5)</f>
        <v>87.838461064052353</v>
      </c>
      <c r="I330">
        <f>0.5*(J329+J331)*EXP(-I44*0.5)</f>
        <v>90.926105282471653</v>
      </c>
      <c r="K330">
        <f>0.5*(L329+L331)*EXP(-K44*0.5)</f>
        <v>93.924741026229398</v>
      </c>
      <c r="M330">
        <f>0.5*(N329+N331)*EXP(-M44*0.5)</f>
        <v>96.774086192715274</v>
      </c>
      <c r="O330">
        <f>0.5*(P329+P331)*EXP(-O44*0.5)</f>
        <v>99.056848359263128</v>
      </c>
    </row>
    <row r="331" spans="1:16" x14ac:dyDescent="0.25">
      <c r="B331">
        <f>0.5*(C330+C332)*EXP(-B45*0.5)</f>
        <v>86.174430658563352</v>
      </c>
      <c r="D331">
        <f>0.5*(E330+E332)*EXP(-D45*0.5)</f>
        <v>88.35079212052635</v>
      </c>
      <c r="F331">
        <f>0.5*(G330+G332)*EXP(-F45*0.5)</f>
        <v>90.596312539975855</v>
      </c>
      <c r="H331">
        <f>0.5*(I330+I332)*EXP(-H45*0.5)</f>
        <v>92.837006033991145</v>
      </c>
      <c r="J331">
        <f>0.5*(K330+K332)*EXP(-J45*0.5)</f>
        <v>94.96026527267513</v>
      </c>
      <c r="L331">
        <f>0.5*(M330+M332)*EXP(-L45*0.5)</f>
        <v>96.967018136544951</v>
      </c>
      <c r="N331">
        <f>0.5*(O330+O332)*EXP(-N45*0.5)</f>
        <v>98.773662464306753</v>
      </c>
      <c r="P331">
        <v>100</v>
      </c>
    </row>
    <row r="332" spans="1:16" x14ac:dyDescent="0.25">
      <c r="C332">
        <f>0.5*(D331+D333)*EXP(-C46*0.5)</f>
        <v>91.066363120750836</v>
      </c>
      <c r="E332">
        <f>0.5*(F331+F333)*EXP(-E46*0.5)</f>
        <v>92.866299470736351</v>
      </c>
      <c r="G332">
        <f>0.5*(H331+H333)*EXP(-G46*0.5)</f>
        <v>94.474450917279498</v>
      </c>
      <c r="I332">
        <f>0.5*(J331+J333)*EXP(-I46*0.5)</f>
        <v>96.047811063528741</v>
      </c>
      <c r="K332">
        <f>0.5*(L331+L333)*EXP(-K46*0.5)</f>
        <v>97.468016633915198</v>
      </c>
      <c r="M332">
        <f>0.5*(N331+N333)*EXP(-M46*0.5)</f>
        <v>98.699368254251937</v>
      </c>
      <c r="O332">
        <f>0.5*(P331+P333)*EXP(-O46*0.5)</f>
        <v>99.622778656683252</v>
      </c>
    </row>
    <row r="333" spans="1:16" x14ac:dyDescent="0.25">
      <c r="D333">
        <f>0.5*(E332+E334)*EXP(-D47*0.5)</f>
        <v>94.495284719086413</v>
      </c>
      <c r="F333">
        <f>0.5*(G332+G334)*EXP(-F47*0.5)</f>
        <v>95.733415244664727</v>
      </c>
      <c r="H333">
        <f>0.5*(I332+I334)*EXP(-H47*0.5)</f>
        <v>96.873506122793529</v>
      </c>
      <c r="J333">
        <f>0.5*(K332+K334)*EXP(-J47*0.5)</f>
        <v>97.870075574389446</v>
      </c>
      <c r="L333">
        <f>0.5*(M332+M334)*EXP(-L47*0.5)</f>
        <v>98.784188691645383</v>
      </c>
      <c r="N333">
        <f>0.5*(O332+O334)*EXP(-N47*0.5)</f>
        <v>99.508997774661239</v>
      </c>
      <c r="P333">
        <v>100</v>
      </c>
    </row>
    <row r="334" spans="1:16" x14ac:dyDescent="0.25">
      <c r="E334">
        <f>0.5*(F333+F335)*EXP(-E48*0.5)</f>
        <v>96.771900785426993</v>
      </c>
      <c r="G334">
        <f>0.5*(H333+H335)*EXP(-G48*0.5)</f>
        <v>97.575168004237611</v>
      </c>
      <c r="I334">
        <f>0.5*(J333+J335)*EXP(-I48*0.5)</f>
        <v>98.321177095186556</v>
      </c>
      <c r="K334">
        <f>0.5*(L333+L335)*EXP(-K48*0.5)</f>
        <v>98.967757099194515</v>
      </c>
      <c r="M334">
        <f>0.5*(N333+N335)*EXP(-M48*0.5)</f>
        <v>99.492982466194547</v>
      </c>
      <c r="O334">
        <f>0.5*(P333+P335)*EXP(-O48*0.5)</f>
        <v>99.849384926388367</v>
      </c>
    </row>
    <row r="335" spans="1:16" x14ac:dyDescent="0.25">
      <c r="F335">
        <f>0.5*(G334+G336)*EXP(-F49*0.5)</f>
        <v>98.116944687111541</v>
      </c>
      <c r="H335">
        <f>0.5*(I334+I336)*EXP(-H49*0.5)</f>
        <v>98.664285583000833</v>
      </c>
      <c r="J335">
        <f>0.5*(K334+K336)*EXP(-J49*0.5)</f>
        <v>99.117446953534454</v>
      </c>
      <c r="L335">
        <f>0.5*(M334+M336)*EXP(-L49*0.5)</f>
        <v>99.531155861337496</v>
      </c>
      <c r="N335">
        <f>0.5*(O334+O336)*EXP(-N49*0.5)</f>
        <v>99.831853207392484</v>
      </c>
      <c r="P335">
        <v>100</v>
      </c>
    </row>
    <row r="336" spans="1:16" x14ac:dyDescent="0.25">
      <c r="G336">
        <f>0.5*(H335+H337)*EXP(-G50*0.5)</f>
        <v>98.953003823976474</v>
      </c>
      <c r="I336">
        <f>0.5*(J335+J337)*EXP(-I50*0.5)</f>
        <v>99.298164409906434</v>
      </c>
      <c r="K336">
        <f>0.5*(L335+L337)*EXP(-K50*0.5)</f>
        <v>99.590473813081587</v>
      </c>
      <c r="M336">
        <f>0.5*(N335+N337)*EXP(-M50*0.5)</f>
        <v>99.819827666389614</v>
      </c>
      <c r="O336">
        <f>0.5*(P335+P337)*EXP(-O50*0.5)</f>
        <v>99.995917109334073</v>
      </c>
    </row>
    <row r="337" spans="8:20" x14ac:dyDescent="0.25">
      <c r="H337">
        <f>0.5*(I336+I338)*EXP(-H51*0.5)</f>
        <v>99.435364558698609</v>
      </c>
      <c r="J337">
        <f>0.5*(K336+K338)*EXP(-J51*0.5)</f>
        <v>99.638954749038319</v>
      </c>
      <c r="L337">
        <f>0.5*(M336+M338)*EXP(-L51*0.5)</f>
        <v>99.825295650889259</v>
      </c>
      <c r="N337">
        <f>0.5*(O336+O338)*EXP(-N51*0.5)</f>
        <v>99.949727564110901</v>
      </c>
      <c r="P337">
        <v>100</v>
      </c>
    </row>
    <row r="338" spans="8:20" x14ac:dyDescent="0.25">
      <c r="I338">
        <f>0.5*(J337+J339)*EXP(-I52*0.5)</f>
        <v>99.707137134876987</v>
      </c>
      <c r="K338">
        <f>0.5*(L337+L339)*EXP(-K52*0.5)</f>
        <v>99.836694945465482</v>
      </c>
      <c r="M338">
        <f>0.5*(N337+N339)*EXP(-M52*0.5)</f>
        <v>99.930925283024933</v>
      </c>
      <c r="O338">
        <f>0.5*(P337+P339)*EXP(-O52*0.5)</f>
        <v>99.976028142099793</v>
      </c>
    </row>
    <row r="339" spans="8:20" x14ac:dyDescent="0.25">
      <c r="J339">
        <f>0.5*(K338+K340)*EXP(-J53*0.5)</f>
        <v>99.849145086522753</v>
      </c>
      <c r="L339">
        <f>0.5*(M338+M340)*EXP(-L53*0.5)</f>
        <v>99.928902142151216</v>
      </c>
      <c r="N339">
        <f>0.5*(O338+O340)*EXP(-N53*0.5)</f>
        <v>99.968776949084202</v>
      </c>
      <c r="P339">
        <v>100</v>
      </c>
    </row>
    <row r="340" spans="8:20" x14ac:dyDescent="0.25">
      <c r="K340">
        <f>0.5*(L339+L341)*EXP(-K54*0.5)</f>
        <v>99.930296810560364</v>
      </c>
      <c r="M340">
        <f>0.5*(N339+N341)*EXP(-M54*0.5)</f>
        <v>99.966861102751352</v>
      </c>
      <c r="O340">
        <f>0.5*(P339+P341)*EXP(-O54*0.5)</f>
        <v>99.990438808466237</v>
      </c>
    </row>
    <row r="341" spans="8:20" x14ac:dyDescent="0.25">
      <c r="L341">
        <f>0.5*(M340+M342)*EXP(-L55*0.5)</f>
        <v>99.968845978146277</v>
      </c>
      <c r="N341">
        <f>0.5*(O340+O342)*EXP(-N55*0.5)</f>
        <v>99.987546322946159</v>
      </c>
      <c r="P341">
        <v>100</v>
      </c>
    </row>
    <row r="342" spans="8:20" x14ac:dyDescent="0.25">
      <c r="M342">
        <f>0.5*(N341+N343)*EXP(-M56*0.5)</f>
        <v>99.986782010608721</v>
      </c>
      <c r="O342">
        <f>0.5*(P341+P343)*EXP(-O56*0.5)</f>
        <v>99.996186677577114</v>
      </c>
    </row>
    <row r="343" spans="8:20" x14ac:dyDescent="0.25">
      <c r="N343">
        <f>0.5*(O342+O344)*EXP(-N57*0.5)</f>
        <v>99.99503300125518</v>
      </c>
      <c r="P343">
        <v>100</v>
      </c>
    </row>
    <row r="344" spans="8:20" x14ac:dyDescent="0.25">
      <c r="O344">
        <f>0.5*(P343+P345)*EXP(-O58*0.5)</f>
        <v>99.998479145972567</v>
      </c>
    </row>
    <row r="345" spans="8:20" x14ac:dyDescent="0.25">
      <c r="P345">
        <v>100</v>
      </c>
    </row>
    <row r="350" spans="8:20" x14ac:dyDescent="0.25">
      <c r="Q350">
        <v>100</v>
      </c>
      <c r="S350">
        <f>0.5*LN(P29/P31)/SQRT(0.5)</f>
        <v>0.43999995342462012</v>
      </c>
      <c r="T350">
        <f>(S350-C17)^2*1000000</f>
        <v>2.1692660115411625E-9</v>
      </c>
    </row>
    <row r="351" spans="8:20" x14ac:dyDescent="0.25">
      <c r="P351">
        <f>0.5*(Q350+Q352)*EXP(-P29*0.5)</f>
        <v>32.397732231533894</v>
      </c>
      <c r="T351">
        <f>(D17-A366)^2*100000</f>
        <v>2.9562411292261077E-7</v>
      </c>
    </row>
    <row r="352" spans="8:20" x14ac:dyDescent="0.25">
      <c r="O352">
        <f>0.5*(P351+P353)*EXP(-O30*0.5)</f>
        <v>0.1186400099829787</v>
      </c>
      <c r="Q352">
        <v>100</v>
      </c>
      <c r="T352">
        <f>T350+T351</f>
        <v>2.9779337893415192E-7</v>
      </c>
    </row>
    <row r="353" spans="1:17" x14ac:dyDescent="0.25">
      <c r="N353">
        <f>0.5*(O352+O354)*EXP(-N31*0.5)</f>
        <v>8.7203538473169862E-2</v>
      </c>
      <c r="P353">
        <f>0.5*(Q352+Q354)*EXP(-P31*0.5)</f>
        <v>54.610591176250701</v>
      </c>
    </row>
    <row r="354" spans="1:17" x14ac:dyDescent="0.25">
      <c r="M354">
        <f>0.5*(N353+N355)*EXP(-M32*0.5)</f>
        <v>0.13923304969393879</v>
      </c>
      <c r="O354">
        <f>0.5*(P353+P355)*EXP(-O32*0.5)</f>
        <v>6.0212019085218129</v>
      </c>
      <c r="Q354">
        <v>100</v>
      </c>
    </row>
    <row r="355" spans="1:17" x14ac:dyDescent="0.25">
      <c r="L355">
        <f>0.5*(M354+M356)*EXP(-L33*0.5)</f>
        <v>0.3581183129297757</v>
      </c>
      <c r="N355">
        <f>0.5*(O354+O356)*EXP(-N33*0.5)</f>
        <v>4.4186178724224892</v>
      </c>
      <c r="P355">
        <f>0.5*(Q354+Q356)*EXP(-P33*0.5)</f>
        <v>72.274940705505969</v>
      </c>
    </row>
    <row r="356" spans="1:17" x14ac:dyDescent="0.25">
      <c r="K356">
        <f>0.5*(L355+L357)*EXP(-K34*0.5)</f>
        <v>2.4018425060243094</v>
      </c>
      <c r="M356">
        <f>0.5*(N355+N357)*EXP(-M34*0.5)</f>
        <v>4.9698334021910489</v>
      </c>
      <c r="O356">
        <f>0.5*(P355+P357)*EXP(-O34*0.5)</f>
        <v>30.549440876445519</v>
      </c>
      <c r="Q356">
        <v>100</v>
      </c>
    </row>
    <row r="357" spans="1:17" x14ac:dyDescent="0.25">
      <c r="J357">
        <f>0.5*(K356+K358)*EXP(-J35*0.5)</f>
        <v>6.0350078391834909</v>
      </c>
      <c r="L357">
        <f>0.5*(M356+M358)*EXP(-L35*0.5)</f>
        <v>7.1295736181642564</v>
      </c>
      <c r="N357">
        <f>0.5*(O356+O358)*EXP(-N35*0.5)</f>
        <v>25.749543511357203</v>
      </c>
      <c r="P357">
        <f>0.5*(Q356+Q358)*EXP(-P35*0.5)</f>
        <v>84.006718874301967</v>
      </c>
    </row>
    <row r="358" spans="1:17" x14ac:dyDescent="0.25">
      <c r="I358">
        <f>0.5*(J357+J359)*EXP(-I36*0.5)</f>
        <v>12.262415567017019</v>
      </c>
      <c r="K358">
        <f>0.5*(L357+L359)*EXP(-K36*0.5)</f>
        <v>15.201089727378292</v>
      </c>
      <c r="M358">
        <f>0.5*(N357+N359)*EXP(-M36*0.5)</f>
        <v>26.247974832590359</v>
      </c>
      <c r="O358">
        <f>0.5*(P357+P359)*EXP(-O36*0.5)</f>
        <v>60.190753039617093</v>
      </c>
      <c r="Q358">
        <v>100</v>
      </c>
    </row>
    <row r="359" spans="1:17" x14ac:dyDescent="0.25">
      <c r="H359">
        <f>0.5*(I358+I360)*EXP(-H37*0.5)</f>
        <v>19.596734710581657</v>
      </c>
      <c r="J359">
        <f>0.5*(K358+K360)*EXP(-J37*0.5)</f>
        <v>23.519320918769676</v>
      </c>
      <c r="L359">
        <f>0.5*(M358+M360)*EXP(-L37*0.5)</f>
        <v>30.149601005019388</v>
      </c>
      <c r="N359">
        <f>0.5*(O358+O360)*EXP(-N37*0.5)</f>
        <v>55.989362948421331</v>
      </c>
      <c r="P359">
        <f>0.5*(Q358+Q360)*EXP(-P37*0.5)</f>
        <v>91.070309659836795</v>
      </c>
    </row>
    <row r="360" spans="1:17" x14ac:dyDescent="0.25">
      <c r="G360">
        <f>0.5*(H359+H361)*EXP(-G38*0.5)</f>
        <v>29.224213875555204</v>
      </c>
      <c r="I360">
        <f>0.5*(J359+J361)*EXP(-I38*0.5)</f>
        <v>33.576437799834878</v>
      </c>
      <c r="K360">
        <f>0.5*(L359+L361)*EXP(-K38*0.5)</f>
        <v>40.741323375972335</v>
      </c>
      <c r="M360">
        <f>0.5*(N359+N361)*EXP(-M38*0.5)</f>
        <v>56.172332336297117</v>
      </c>
      <c r="O360">
        <f>0.5*(P359+P361)*EXP(-O38*0.5)</f>
        <v>80.170078003645045</v>
      </c>
      <c r="Q360">
        <v>100</v>
      </c>
    </row>
    <row r="361" spans="1:17" x14ac:dyDescent="0.25">
      <c r="F361">
        <f>0.5*(G360+G362)*EXP(-F39*0.5)</f>
        <v>38.971822365419136</v>
      </c>
      <c r="H361">
        <f>0.5*(I360+I362)*EXP(-H39*0.5)</f>
        <v>42.968123520749891</v>
      </c>
      <c r="J361">
        <f>0.5*(K360+K362)*EXP(-J39*0.5)</f>
        <v>49.642345705355218</v>
      </c>
      <c r="L361">
        <f>0.5*(M360+M362)*EXP(-L39*0.5)</f>
        <v>59.335550673119322</v>
      </c>
      <c r="N361">
        <f>0.5*(O360+O362)*EXP(-N39*0.5)</f>
        <v>78.054587798221874</v>
      </c>
      <c r="P361">
        <f>0.5*(Q360+Q362)*EXP(-P39*0.5)</f>
        <v>95.103430277473663</v>
      </c>
    </row>
    <row r="362" spans="1:17" x14ac:dyDescent="0.25">
      <c r="E362">
        <f>0.5*(F361+F363)*EXP(-E40*0.5)</f>
        <v>48.898570018225719</v>
      </c>
      <c r="G362">
        <f>0.5*(H361+H363)*EXP(-G40*0.5)</f>
        <v>52.832071339987117</v>
      </c>
      <c r="I362">
        <f>0.5*(J361+J363)*EXP(-I40*0.5)</f>
        <v>58.771093530679444</v>
      </c>
      <c r="K362">
        <f>0.5*(L361+L363)*EXP(-K40*0.5)</f>
        <v>66.773771965699154</v>
      </c>
      <c r="M362">
        <f>0.5*(N361+N363)*EXP(-M40*0.5)</f>
        <v>78.250845922008139</v>
      </c>
      <c r="O362">
        <f>0.5*(P361+P363)*EXP(-O40*0.5)</f>
        <v>90.657141053031339</v>
      </c>
      <c r="Q362">
        <v>100</v>
      </c>
    </row>
    <row r="363" spans="1:17" x14ac:dyDescent="0.25">
      <c r="D363">
        <f>0.5*(E362+E364)*EXP(-D41*0.5)</f>
        <v>57.798942818627118</v>
      </c>
      <c r="F363">
        <f>0.5*(G362+G364)*EXP(-F41*0.5)</f>
        <v>61.479397609349427</v>
      </c>
      <c r="H363">
        <f>0.5*(I362+I364)*EXP(-H41*0.5)</f>
        <v>66.302035018102103</v>
      </c>
      <c r="J363">
        <f>0.5*(K362+K364)*EXP(-J41*0.5)</f>
        <v>72.619926667932702</v>
      </c>
      <c r="L363">
        <f>0.5*(M362+M364)*EXP(-L41*0.5)</f>
        <v>80.085159688309034</v>
      </c>
      <c r="N363">
        <f>0.5*(O362+O364)*EXP(-N41*0.5)</f>
        <v>89.867039004989493</v>
      </c>
      <c r="P363">
        <f>0.5*(Q362+Q364)*EXP(-P41*0.5)</f>
        <v>97.341304945056379</v>
      </c>
    </row>
    <row r="364" spans="1:17" x14ac:dyDescent="0.25">
      <c r="C364">
        <f>0.5*(D363+D365)*EXP(-C42*0.5)</f>
        <v>65.797380275532248</v>
      </c>
      <c r="E364">
        <f>0.5*(F363+F365)*EXP(-E42*0.5)</f>
        <v>69.285329861865648</v>
      </c>
      <c r="G364">
        <f>0.5*(H363+H365)*EXP(-G42*0.5)</f>
        <v>73.283987955893039</v>
      </c>
      <c r="I364">
        <f>0.5*(J363+J365)*EXP(-I42*0.5)</f>
        <v>78.289570797920419</v>
      </c>
      <c r="K364">
        <f>0.5*(L363+L365)*EXP(-K42*0.5)</f>
        <v>83.878401941046647</v>
      </c>
      <c r="M364">
        <f>0.5*(N363+N365)*EXP(-M42*0.5)</f>
        <v>90.082421333808071</v>
      </c>
      <c r="O364">
        <f>0.5*(P363+P365)*EXP(-O42*0.5)</f>
        <v>95.652706854150892</v>
      </c>
      <c r="Q364">
        <v>100</v>
      </c>
    </row>
    <row r="365" spans="1:17" x14ac:dyDescent="0.25">
      <c r="B365">
        <f>0.5*(C364+C366)*EXP(-B43*0.5)</f>
        <v>72.695180313577225</v>
      </c>
      <c r="D365">
        <f>0.5*(E364+E366)*EXP(-D43*0.5)</f>
        <v>75.593599676538219</v>
      </c>
      <c r="F365">
        <f>0.5*(G364+G366)*EXP(-F43*0.5)</f>
        <v>78.932921039400654</v>
      </c>
      <c r="H365">
        <f>0.5*(I364+I366)*EXP(-H43*0.5)</f>
        <v>82.711268228853129</v>
      </c>
      <c r="J365">
        <f>0.5*(K364+K366)*EXP(-J43*0.5)</f>
        <v>86.817099806580259</v>
      </c>
      <c r="L365">
        <f>0.5*(M364+M366)*EXP(-L43*0.5)</f>
        <v>91.021576167182644</v>
      </c>
      <c r="N365">
        <f>0.5*(O364+O366)*EXP(-N43*0.5)</f>
        <v>95.430250806186947</v>
      </c>
      <c r="P365">
        <f>0.5*(Q364+Q366)*EXP(-P43*0.5)</f>
        <v>98.564085752868024</v>
      </c>
    </row>
    <row r="366" spans="1:17" x14ac:dyDescent="0.25">
      <c r="A366">
        <f>0.5*(B365+B367)*EXP(-A44*0.5)</f>
        <v>78.662787826027653</v>
      </c>
      <c r="C366">
        <f>0.5*(D365+D367)*EXP(-C44*0.5)</f>
        <v>80.866685399893939</v>
      </c>
      <c r="E366">
        <f>0.5*(F365+F367)*EXP(-E44*0.5)</f>
        <v>83.707890906914514</v>
      </c>
      <c r="G366">
        <f>0.5*(H365+H367)*EXP(-G44*0.5)</f>
        <v>86.567708864091856</v>
      </c>
      <c r="I366">
        <f>0.5*(J365+J367)*EXP(-I44*0.5)</f>
        <v>89.664261592802475</v>
      </c>
      <c r="K366">
        <f>0.5*(L365+L367)*EXP(-K44*0.5)</f>
        <v>92.698979814784494</v>
      </c>
      <c r="M366">
        <f>0.5*(N365+N367)*EXP(-M44*0.5)</f>
        <v>95.605682609171168</v>
      </c>
      <c r="O366">
        <f>0.5*(P365+P367)*EXP(-O44*0.5)</f>
        <v>97.962667008287227</v>
      </c>
      <c r="Q366">
        <v>100</v>
      </c>
    </row>
    <row r="367" spans="1:17" x14ac:dyDescent="0.25">
      <c r="B367">
        <f>0.5*(C366+C368)*EXP(-B45*0.5)</f>
        <v>85.150427318968767</v>
      </c>
      <c r="D367">
        <f>0.5*(E366+E368)*EXP(-D45*0.5)</f>
        <v>87.321966733060535</v>
      </c>
      <c r="F367">
        <f>0.5*(G366+G368)*EXP(-F45*0.5)</f>
        <v>89.5762783040404</v>
      </c>
      <c r="H367">
        <f>0.5*(I366+I368)*EXP(-H45*0.5)</f>
        <v>91.842442698394024</v>
      </c>
      <c r="J367">
        <f>0.5*(K366+K368)*EXP(-J45*0.5)</f>
        <v>94.007765337231348</v>
      </c>
      <c r="L367">
        <f>0.5*(M366+M368)*EXP(-L45*0.5)</f>
        <v>96.068118278799886</v>
      </c>
      <c r="N367">
        <f>0.5*(O366+O368)*EXP(-N45*0.5)</f>
        <v>97.935229289721832</v>
      </c>
      <c r="P367">
        <f>0.5*(Q366+Q368)*EXP(-P45*0.5)</f>
        <v>99.226715450482445</v>
      </c>
    </row>
    <row r="368" spans="1:17" x14ac:dyDescent="0.25">
      <c r="C368">
        <f>0.5*(D367+D369)*EXP(-C46*0.5)</f>
        <v>90.23332221045176</v>
      </c>
      <c r="E368">
        <f>0.5*(F367+F369)*EXP(-E46*0.5)</f>
        <v>92.052709808645346</v>
      </c>
      <c r="G368">
        <f>0.5*(H367+H369)*EXP(-G46*0.5)</f>
        <v>93.692521207123761</v>
      </c>
      <c r="I368">
        <f>0.5*(J367+J369)*EXP(-I46*0.5)</f>
        <v>95.306602200612929</v>
      </c>
      <c r="K368">
        <f>0.5*(L367+L369)*EXP(-K46*0.5)</f>
        <v>96.774010784977264</v>
      </c>
      <c r="M368">
        <f>0.5*(N367+N369)*EXP(-M46*0.5)</f>
        <v>98.055701468179365</v>
      </c>
      <c r="O368">
        <f>0.5*(P367+P369)*EXP(-O46*0.5)</f>
        <v>99.030482193145374</v>
      </c>
      <c r="Q368">
        <v>100</v>
      </c>
    </row>
    <row r="369" spans="4:17" x14ac:dyDescent="0.25">
      <c r="D369">
        <f>0.5*(E368+E370)*EXP(-D47*0.5)</f>
        <v>93.851502822421239</v>
      </c>
      <c r="F369">
        <f>0.5*(G368+G370)*EXP(-F47*0.5)</f>
        <v>95.121038787703071</v>
      </c>
      <c r="H369">
        <f>0.5*(I368+I370)*EXP(-H47*0.5)</f>
        <v>96.297906474176671</v>
      </c>
      <c r="J369">
        <f>0.5*(K368+K370)*EXP(-J47*0.5)</f>
        <v>97.334487899170412</v>
      </c>
      <c r="L369">
        <f>0.5*(M368+M370)*EXP(-L47*0.5)</f>
        <v>98.289272534997977</v>
      </c>
      <c r="N369">
        <f>0.5*(O368+O370)*EXP(-N47*0.5)</f>
        <v>99.054332878738137</v>
      </c>
      <c r="P369">
        <f>0.5*(Q368+Q370)*EXP(-P47*0.5)</f>
        <v>99.584206164986583</v>
      </c>
    </row>
    <row r="370" spans="4:17" x14ac:dyDescent="0.25">
      <c r="E370">
        <f>0.5*(F369+F371)*EXP(-E48*0.5)</f>
        <v>96.293514444651677</v>
      </c>
      <c r="G370">
        <f>0.5*(H369+H371)*EXP(-G48*0.5)</f>
        <v>97.128616886717552</v>
      </c>
      <c r="I370">
        <f>0.5*(J369+J371)*EXP(-I48*0.5)</f>
        <v>97.907491025897087</v>
      </c>
      <c r="K370">
        <f>0.5*(L369+L371)*EXP(-K48*0.5)</f>
        <v>98.58678084797458</v>
      </c>
      <c r="M370">
        <f>0.5*(N369+N371)*EXP(-M48*0.5)</f>
        <v>99.143690785992121</v>
      </c>
      <c r="O370">
        <f>0.5*(P369+P371)*EXP(-O48*0.5)</f>
        <v>99.530276466519936</v>
      </c>
      <c r="Q370">
        <v>100</v>
      </c>
    </row>
    <row r="371" spans="4:17" x14ac:dyDescent="0.25">
      <c r="F371">
        <f>0.5*(G370+G372)*EXP(-F49*0.5)</f>
        <v>97.771033008849287</v>
      </c>
      <c r="H371">
        <f>0.5*(I370+I372)*EXP(-H49*0.5)</f>
        <v>98.345009812086403</v>
      </c>
      <c r="J371">
        <f>0.5*(K370+K372)*EXP(-J49*0.5)</f>
        <v>98.824210195388986</v>
      </c>
      <c r="L371">
        <f>0.5*(M370+M372)*EXP(-L49*0.5)</f>
        <v>99.262657359092913</v>
      </c>
      <c r="N371">
        <f>0.5*(O370+O372)*EXP(-N49*0.5)</f>
        <v>99.586688838511279</v>
      </c>
      <c r="P371">
        <f>0.5*(Q370+Q372)*EXP(-P49*0.5)</f>
        <v>99.776614214420476</v>
      </c>
    </row>
    <row r="372" spans="4:17" x14ac:dyDescent="0.25">
      <c r="G372">
        <f>0.5*(H371+H373)*EXP(-G50*0.5)</f>
        <v>98.706694091011443</v>
      </c>
      <c r="I372">
        <f>0.5*(J371+J373)*EXP(-I50*0.5)</f>
        <v>99.072358010023137</v>
      </c>
      <c r="K372">
        <f>0.5*(L371+L373)*EXP(-K50*0.5)</f>
        <v>99.384019962685699</v>
      </c>
      <c r="M372">
        <f>0.5*(N371+N373)*EXP(-M50*0.5)</f>
        <v>99.631446589397186</v>
      </c>
      <c r="O372">
        <f>0.5*(P371+P373)*EXP(-O50*0.5)</f>
        <v>99.824250873818684</v>
      </c>
      <c r="Q372">
        <v>100</v>
      </c>
    </row>
    <row r="373" spans="4:17" x14ac:dyDescent="0.25">
      <c r="H373">
        <f>0.5*(I372+I374)*EXP(-H51*0.5)</f>
        <v>99.261538856779879</v>
      </c>
      <c r="J373">
        <f>0.5*(K372+K374)*EXP(-J51*0.5)</f>
        <v>99.480214697854777</v>
      </c>
      <c r="L373">
        <f>0.5*(M372+M374)*EXP(-L51*0.5)</f>
        <v>99.68052262785514</v>
      </c>
      <c r="N373">
        <f>0.5*(O372+O374)*EXP(-N51*0.5)</f>
        <v>99.817861935757847</v>
      </c>
      <c r="P373">
        <f>0.5*(Q372+Q374)*EXP(-P51*0.5)</f>
        <v>99.880039296086963</v>
      </c>
    </row>
    <row r="374" spans="4:17" x14ac:dyDescent="0.25">
      <c r="I374">
        <f>0.5*(J373+J375)*EXP(-I52*0.5)</f>
        <v>99.585056881152781</v>
      </c>
      <c r="K374">
        <f>0.5*(L373+L375)*EXP(-K52*0.5)</f>
        <v>99.725430900728284</v>
      </c>
      <c r="M374">
        <f>0.5*(N373+N375)*EXP(-M52*0.5)</f>
        <v>99.829615053126957</v>
      </c>
      <c r="O374">
        <f>0.5*(P373+P375)*EXP(-O52*0.5)</f>
        <v>99.883867483273207</v>
      </c>
      <c r="Q374">
        <v>100</v>
      </c>
    </row>
    <row r="375" spans="4:17" x14ac:dyDescent="0.25">
      <c r="J375">
        <f>0.5*(K374+K376)*EXP(-J53*0.5)</f>
        <v>99.763634239097712</v>
      </c>
      <c r="L375">
        <f>0.5*(M374+M376)*EXP(-L53*0.5)</f>
        <v>99.851057018502615</v>
      </c>
      <c r="N375">
        <f>0.5*(O374+O376)*EXP(-N53*0.5)</f>
        <v>99.897964681723522</v>
      </c>
      <c r="P375">
        <f>0.5*(Q374+Q376)*EXP(-P53*0.5)</f>
        <v>99.935595190420941</v>
      </c>
    </row>
    <row r="376" spans="4:17" x14ac:dyDescent="0.25">
      <c r="K376">
        <f>0.5*(L375+L377)*EXP(-K54*0.5)</f>
        <v>99.870480324384587</v>
      </c>
      <c r="M376">
        <f>0.5*(N375+N377)*EXP(-M54*0.5)</f>
        <v>99.912449939091459</v>
      </c>
      <c r="O376">
        <f>0.5*(P375+P377)*EXP(-O54*0.5)</f>
        <v>99.94095445218889</v>
      </c>
      <c r="Q376">
        <v>100</v>
      </c>
    </row>
    <row r="377" spans="4:17" x14ac:dyDescent="0.25">
      <c r="L377">
        <f>0.5*(M376+M378)*EXP(-L55*0.5)</f>
        <v>99.92703588942544</v>
      </c>
      <c r="N377">
        <f>0.5*(O376+O378)*EXP(-N55*0.5)</f>
        <v>99.949523961407152</v>
      </c>
      <c r="P377">
        <f>0.5*(Q376+Q378)*EXP(-P55*0.5)</f>
        <v>99.965426633531393</v>
      </c>
    </row>
    <row r="378" spans="4:17" x14ac:dyDescent="0.25">
      <c r="M378">
        <f>0.5*(N377+N379)*EXP(-M56*0.5)</f>
        <v>99.957566325555646</v>
      </c>
      <c r="O378">
        <f>0.5*(P377+P379)*EXP(-O56*0.5)</f>
        <v>99.96962192517212</v>
      </c>
      <c r="Q378">
        <v>100</v>
      </c>
    </row>
    <row r="379" spans="4:17" x14ac:dyDescent="0.25">
      <c r="N379">
        <f>0.5*(O378+O380)*EXP(-N57*0.5)</f>
        <v>99.974621358457327</v>
      </c>
      <c r="P379">
        <f>0.5*(Q378+Q380)*EXP(-P57*0.5)</f>
        <v>99.981441835582046</v>
      </c>
    </row>
    <row r="380" spans="4:17" x14ac:dyDescent="0.25">
      <c r="O380">
        <f>0.5*(P379+P381)*EXP(-O58*0.5)</f>
        <v>99.984219673836165</v>
      </c>
      <c r="Q380">
        <v>100</v>
      </c>
    </row>
    <row r="381" spans="4:17" x14ac:dyDescent="0.25">
      <c r="P381">
        <f>0.5*(Q380+Q382)*EXP(-P59*0.5)</f>
        <v>99.990038786407027</v>
      </c>
    </row>
    <row r="382" spans="4:17" x14ac:dyDescent="0.25">
      <c r="Q382">
        <v>100</v>
      </c>
    </row>
    <row r="387" spans="5:21" x14ac:dyDescent="0.25">
      <c r="R387">
        <v>100</v>
      </c>
      <c r="T387">
        <f>0.5*LN(Q28/Q30)/SQRT(0.5)</f>
        <v>0.43999903273311219</v>
      </c>
      <c r="U387">
        <f>(T387-C18)^2*100000</f>
        <v>9.3560523224980491E-8</v>
      </c>
    </row>
    <row r="388" spans="5:21" x14ac:dyDescent="0.25">
      <c r="Q388">
        <f>0.5*(R387+R389)*EXP(-Q28*0.5)</f>
        <v>3.8299131188774114</v>
      </c>
      <c r="U388">
        <f>(D18-A404)^2*100000</f>
        <v>1.4342388834398994E-7</v>
      </c>
    </row>
    <row r="389" spans="5:21" x14ac:dyDescent="0.25">
      <c r="P389">
        <f>0.5*(Q388+Q390)*EXP(-P29*0.5)</f>
        <v>3.4325228228165003</v>
      </c>
      <c r="R389">
        <v>100</v>
      </c>
      <c r="U389">
        <f>U387+U388</f>
        <v>2.3698441156897044E-7</v>
      </c>
    </row>
    <row r="390" spans="5:21" x14ac:dyDescent="0.25">
      <c r="O390">
        <f>0.5*(P389+P391)*EXP(-O30*0.5)</f>
        <v>2.569035643672328E-2</v>
      </c>
      <c r="Q390">
        <f>0.5*(R389+R391)*EXP(-Q30*0.5)</f>
        <v>17.359982508912864</v>
      </c>
    </row>
    <row r="391" spans="5:21" x14ac:dyDescent="0.25">
      <c r="N391">
        <f>0.5*(O390+O392)*EXP(-N31*0.5)</f>
        <v>3.4972883894757077E-2</v>
      </c>
      <c r="P391">
        <f>0.5*(Q390+Q392)*EXP(-P31*0.5)</f>
        <v>15.408295225229642</v>
      </c>
      <c r="R391">
        <v>100</v>
      </c>
    </row>
    <row r="392" spans="5:21" x14ac:dyDescent="0.25">
      <c r="M392">
        <f>0.5*(N391+N393)*EXP(-M32*0.5)</f>
        <v>7.8303092910642427E-2</v>
      </c>
      <c r="O392">
        <f>0.5*(P391+P393)*EXP(-O32*0.5)</f>
        <v>2.436686541423867</v>
      </c>
      <c r="Q392">
        <f>0.5*(R391+R393)*EXP(-Q32*0.5)</f>
        <v>39.069713245527055</v>
      </c>
    </row>
    <row r="393" spans="5:21" x14ac:dyDescent="0.25">
      <c r="L393">
        <f>0.5*(M392+M394)*EXP(-L33*0.5)</f>
        <v>0.24229381994997443</v>
      </c>
      <c r="N393">
        <f>0.5*(O392+O394)*EXP(-N33*0.5)</f>
        <v>2.4990501325635539</v>
      </c>
      <c r="P393">
        <f>0.5*(Q392+Q394)*EXP(-P33*0.5)</f>
        <v>35.940301373084445</v>
      </c>
      <c r="R393">
        <v>100</v>
      </c>
    </row>
    <row r="394" spans="5:21" x14ac:dyDescent="0.25">
      <c r="K394">
        <f>0.5*(L393+L395)*EXP(-K34*0.5)</f>
        <v>1.8165186215811155</v>
      </c>
      <c r="M394">
        <f>0.5*(N393+N395)*EXP(-M34*0.5)</f>
        <v>3.3783624344069114</v>
      </c>
      <c r="O394">
        <f>0.5*(P393+P395)*EXP(-O34*0.5)</f>
        <v>18.24667471280511</v>
      </c>
      <c r="Q394">
        <f>0.5*(R393+R395)*EXP(-Q34*0.5)</f>
        <v>60.38467861493276</v>
      </c>
    </row>
    <row r="395" spans="5:21" x14ac:dyDescent="0.25">
      <c r="J395">
        <f>0.5*(K394+K396)*EXP(-J35*0.5)</f>
        <v>4.8810521335776604</v>
      </c>
      <c r="L395">
        <f>0.5*(M394+M396)*EXP(-L35*0.5)</f>
        <v>5.4206635935272054</v>
      </c>
      <c r="N395">
        <f>0.5*(O394+O396)*EXP(-N35*0.5)</f>
        <v>18.008474946477033</v>
      </c>
      <c r="P395">
        <f>0.5*(Q394+Q396)*EXP(-P35*0.5)</f>
        <v>57.404143700827781</v>
      </c>
      <c r="R395">
        <v>100</v>
      </c>
    </row>
    <row r="396" spans="5:21" x14ac:dyDescent="0.25">
      <c r="I396">
        <f>0.5*(J395+J397)*EXP(-I36*0.5)</f>
        <v>10.376101615077037</v>
      </c>
      <c r="K396">
        <f>0.5*(L395+L397)*EXP(-K36*0.5)</f>
        <v>12.420551523914741</v>
      </c>
      <c r="M396">
        <f>0.5*(N395+N397)*EXP(-M36*0.5)</f>
        <v>20.356750719746195</v>
      </c>
      <c r="O396">
        <f>0.5*(P395+P397)*EXP(-O36*0.5)</f>
        <v>45.214353559604511</v>
      </c>
      <c r="Q396">
        <f>0.5*(R395+R397)*EXP(-Q36*0.5)</f>
        <v>76.280922589467963</v>
      </c>
    </row>
    <row r="397" spans="5:21" x14ac:dyDescent="0.25">
      <c r="H397">
        <f>0.5*(I396+I398)*EXP(-H37*0.5)</f>
        <v>17.136577017348369</v>
      </c>
      <c r="J397">
        <f>0.5*(K396+K398)*EXP(-J37*0.5)</f>
        <v>20.12696661133868</v>
      </c>
      <c r="L397">
        <f>0.5*(M396+M398)*EXP(-L37*0.5)</f>
        <v>25.039515083158033</v>
      </c>
      <c r="N397">
        <f>0.5*(O396+O398)*EXP(-N37*0.5)</f>
        <v>45.384550744798844</v>
      </c>
      <c r="P397">
        <f>0.5*(Q396+Q398)*EXP(-P37*0.5)</f>
        <v>74.110985593156499</v>
      </c>
      <c r="R397">
        <v>100</v>
      </c>
    </row>
    <row r="398" spans="5:21" x14ac:dyDescent="0.25">
      <c r="G398">
        <f>0.5*(H397+H399)*EXP(-G38*0.5)</f>
        <v>26.213146184076582</v>
      </c>
      <c r="I398">
        <f>0.5*(J397+J399)*EXP(-I38*0.5)</f>
        <v>29.708180420125387</v>
      </c>
      <c r="K398">
        <f>0.5*(L397+L399)*EXP(-K38*0.5)</f>
        <v>35.452900459568525</v>
      </c>
      <c r="M398">
        <f>0.5*(N397+N399)*EXP(-M38*0.5)</f>
        <v>48.094056445837694</v>
      </c>
      <c r="O398">
        <f>0.5*(P397+P399)*EXP(-O38*0.5)</f>
        <v>68.561065977378817</v>
      </c>
      <c r="Q398">
        <f>0.5*(R397+R399)*EXP(-Q38*0.5)</f>
        <v>86.474614028280982</v>
      </c>
    </row>
    <row r="399" spans="5:21" x14ac:dyDescent="0.25">
      <c r="F399">
        <f>0.5*(G398+G400)*EXP(-F39*0.5)</f>
        <v>35.662426308754945</v>
      </c>
      <c r="H399">
        <f>0.5*(I398+I400)*EXP(-H39*0.5)</f>
        <v>38.98201634456678</v>
      </c>
      <c r="J399">
        <f>0.5*(K398+K400)*EXP(-J39*0.5)</f>
        <v>44.605927475396662</v>
      </c>
      <c r="L399">
        <f>0.5*(M398+M400)*EXP(-L39*0.5)</f>
        <v>52.830026506781245</v>
      </c>
      <c r="N399">
        <f>0.5*(O398+O400)*EXP(-N39*0.5)</f>
        <v>69.382222598996279</v>
      </c>
      <c r="P399">
        <f>0.5*(Q398+Q400)*EXP(-P39*0.5)</f>
        <v>85.103903364753236</v>
      </c>
      <c r="R399">
        <v>100</v>
      </c>
    </row>
    <row r="400" spans="5:21" x14ac:dyDescent="0.25">
      <c r="E400">
        <f>0.5*(F399+F401)*EXP(-E40*0.5)</f>
        <v>45.475424311457928</v>
      </c>
      <c r="G400">
        <f>0.5*(H399+H401)*EXP(-G40*0.5)</f>
        <v>48.875111101681561</v>
      </c>
      <c r="I400">
        <f>0.5*(J399+J401)*EXP(-I40*0.5)</f>
        <v>54.072368524909763</v>
      </c>
      <c r="K400">
        <f>0.5*(L399+L401)*EXP(-K40*0.5)</f>
        <v>61.154350410198568</v>
      </c>
      <c r="M400">
        <f>0.5*(N399+N401)*EXP(-M40*0.5)</f>
        <v>71.591022565812281</v>
      </c>
      <c r="O400">
        <f>0.5*(P399+P401)*EXP(-O40*0.5)</f>
        <v>83.286153678655594</v>
      </c>
      <c r="Q400">
        <f>0.5*(R399+R401)*EXP(-Q40*0.5)</f>
        <v>92.496645192241729</v>
      </c>
    </row>
    <row r="401" spans="1:18" x14ac:dyDescent="0.25">
      <c r="D401">
        <f>0.5*(E400+E402)*EXP(-D41*0.5)</f>
        <v>54.467758671611385</v>
      </c>
      <c r="F401">
        <f>0.5*(G400+G402)*EXP(-F41*0.5)</f>
        <v>57.756703315149551</v>
      </c>
      <c r="H401">
        <f>0.5*(I400+I402)*EXP(-H41*0.5)</f>
        <v>62.104142180560089</v>
      </c>
      <c r="J401">
        <f>0.5*(K400+K402)*EXP(-J41*0.5)</f>
        <v>67.881525986912408</v>
      </c>
      <c r="L401">
        <f>0.5*(M400+M402)*EXP(-L41*0.5)</f>
        <v>74.857577845738831</v>
      </c>
      <c r="N401">
        <f>0.5*(O400+O402)*EXP(-N41*0.5)</f>
        <v>84.247822317559752</v>
      </c>
      <c r="P401">
        <f>0.5*(Q400+Q402)*EXP(-P41*0.5)</f>
        <v>91.693882294690809</v>
      </c>
      <c r="R401">
        <v>100</v>
      </c>
    </row>
    <row r="402" spans="1:18" x14ac:dyDescent="0.25">
      <c r="C402">
        <f>0.5*(D401+D403)*EXP(-C42*0.5)</f>
        <v>62.684606622135746</v>
      </c>
      <c r="E402">
        <f>0.5*(F401+F403)*EXP(-E42*0.5)</f>
        <v>65.89706493525108</v>
      </c>
      <c r="G402">
        <f>0.5*(H401+H403)*EXP(-G42*0.5)</f>
        <v>69.604381269275621</v>
      </c>
      <c r="I402">
        <f>0.5*(J401+J403)*EXP(-I42*0.5)</f>
        <v>74.31034223956965</v>
      </c>
      <c r="K402">
        <f>0.5*(L401+L403)*EXP(-K42*0.5)</f>
        <v>79.667871909001349</v>
      </c>
      <c r="M402">
        <f>0.5*(N401+N403)*EXP(-M42*0.5)</f>
        <v>85.754242233220666</v>
      </c>
      <c r="O402">
        <f>0.5*(P401+P403)*EXP(-O42*0.5)</f>
        <v>91.374090347236958</v>
      </c>
      <c r="Q402">
        <f>0.5*(R401+R403)*EXP(-Q42*0.5)</f>
        <v>95.900012005741729</v>
      </c>
    </row>
    <row r="403" spans="1:18" x14ac:dyDescent="0.25">
      <c r="B403">
        <f>0.5*(C402+C404)*EXP(-B43*0.5)</f>
        <v>69.88301420132963</v>
      </c>
      <c r="D403">
        <f>0.5*(E402+E404)*EXP(-D43*0.5)</f>
        <v>72.61418619641816</v>
      </c>
      <c r="F403">
        <f>0.5*(G402+G404)*EXP(-F43*0.5)</f>
        <v>75.78902271593239</v>
      </c>
      <c r="H403">
        <f>0.5*(I402+I404)*EXP(-H43*0.5)</f>
        <v>79.427167218674242</v>
      </c>
      <c r="J403">
        <f>0.5*(K402+K404)*EXP(-J43*0.5)</f>
        <v>83.45178549031813</v>
      </c>
      <c r="L403">
        <f>0.5*(M402+M404)*EXP(-L43*0.5)</f>
        <v>87.659937980130024</v>
      </c>
      <c r="N403">
        <f>0.5*(O402+O404)*EXP(-N43*0.5)</f>
        <v>92.146511231102991</v>
      </c>
      <c r="P403">
        <f>0.5*(Q402+Q404)*EXP(-P43*0.5)</f>
        <v>95.448515007640154</v>
      </c>
      <c r="R403">
        <v>100</v>
      </c>
    </row>
    <row r="404" spans="1:18" x14ac:dyDescent="0.25">
      <c r="A404">
        <f>0.5*(B403+B405)*EXP(-A44*0.5)</f>
        <v>76.185427306580891</v>
      </c>
      <c r="C404">
        <f>0.5*(D403+D405)*EXP(-C44*0.5)</f>
        <v>78.305854371415023</v>
      </c>
      <c r="E404">
        <f>0.5*(F403+F405)*EXP(-E44*0.5)</f>
        <v>81.066147125437865</v>
      </c>
      <c r="G404">
        <f>0.5*(H403+H405)*EXP(-G44*0.5)</f>
        <v>83.880422307457223</v>
      </c>
      <c r="I404">
        <f>0.5*(J403+J405)*EXP(-I44*0.5)</f>
        <v>86.974781492356769</v>
      </c>
      <c r="K404">
        <f>0.5*(L403+L405)*EXP(-K44*0.5)</f>
        <v>90.064793862595323</v>
      </c>
      <c r="M404">
        <f>0.5*(N403+N405)*EXP(-M44*0.5)</f>
        <v>93.075968808084426</v>
      </c>
      <c r="O404">
        <f>0.5*(P403+P405)*EXP(-O44*0.5)</f>
        <v>95.579009654179885</v>
      </c>
      <c r="Q404">
        <f>0.5*(R403+R405)*EXP(-Q44*0.5)</f>
        <v>97.778069170723285</v>
      </c>
    </row>
    <row r="405" spans="1:18" x14ac:dyDescent="0.25">
      <c r="B405">
        <f>0.5*(C404+C406)*EXP(-B45*0.5)</f>
        <v>82.991494804737613</v>
      </c>
      <c r="D405">
        <f>0.5*(E404+E406)*EXP(-D45*0.5)</f>
        <v>85.142281192108754</v>
      </c>
      <c r="F405">
        <f>0.5*(G404+G406)*EXP(-F45*0.5)</f>
        <v>87.402181816455894</v>
      </c>
      <c r="H405">
        <f>0.5*(I404+I406)*EXP(-H45*0.5)</f>
        <v>89.70794309016091</v>
      </c>
      <c r="J405">
        <f>0.5*(K404+K406)*EXP(-J45*0.5)</f>
        <v>91.949236665987144</v>
      </c>
      <c r="L405">
        <f>0.5*(M404+M406)*EXP(-L45*0.5)</f>
        <v>94.113311280655637</v>
      </c>
      <c r="N405">
        <f>0.5*(O404+O406)*EXP(-N45*0.5)</f>
        <v>96.10254366598123</v>
      </c>
      <c r="P405">
        <f>0.5*(Q404+Q406)*EXP(-P45*0.5)</f>
        <v>97.529580373570255</v>
      </c>
      <c r="R405">
        <v>100</v>
      </c>
    </row>
    <row r="406" spans="1:18" x14ac:dyDescent="0.25">
      <c r="C406">
        <f>0.5*(D405+D407)*EXP(-C46*0.5)</f>
        <v>88.456026217777335</v>
      </c>
      <c r="E406">
        <f>0.5*(F405+F407)*EXP(-E46*0.5)</f>
        <v>90.307208840815875</v>
      </c>
      <c r="G406">
        <f>0.5*(H405+H407)*EXP(-G46*0.5)</f>
        <v>92.004730561747351</v>
      </c>
      <c r="I406">
        <f>0.5*(J405+J407)*EXP(-I46*0.5)</f>
        <v>93.697195809132936</v>
      </c>
      <c r="K406">
        <f>0.5*(L405+L407)*EXP(-K46*0.5)</f>
        <v>95.259224764725346</v>
      </c>
      <c r="M406">
        <f>0.5*(N405+N407)*EXP(-M46*0.5)</f>
        <v>96.644767366014236</v>
      </c>
      <c r="O406">
        <f>0.5*(P405+P407)*EXP(-O46*0.5)</f>
        <v>97.727759118726539</v>
      </c>
      <c r="Q406">
        <f>0.5*(R405+R407)*EXP(-Q46*0.5)</f>
        <v>98.801208760210301</v>
      </c>
    </row>
    <row r="407" spans="1:18" x14ac:dyDescent="0.25">
      <c r="D407">
        <f>0.5*(E406+E408)*EXP(-D47*0.5)</f>
        <v>92.462674276427634</v>
      </c>
      <c r="F407">
        <f>0.5*(G406+G408)*EXP(-F47*0.5)</f>
        <v>93.792909795893053</v>
      </c>
      <c r="H407">
        <f>0.5*(I406+I408)*EXP(-H47*0.5)</f>
        <v>95.043218586330624</v>
      </c>
      <c r="J407">
        <f>0.5*(K406+K408)*EXP(-J47*0.5)</f>
        <v>96.161892616686359</v>
      </c>
      <c r="L407">
        <f>0.5*(M406+M408)*EXP(-L47*0.5)</f>
        <v>97.201838582815896</v>
      </c>
      <c r="N407">
        <f>0.5*(O406+O408)*EXP(-N47*0.5)</f>
        <v>98.052514369904102</v>
      </c>
      <c r="P407">
        <f>0.5*(Q406+Q408)*EXP(-P47*0.5)</f>
        <v>98.666029579275445</v>
      </c>
      <c r="R407">
        <v>100</v>
      </c>
    </row>
    <row r="408" spans="1:18" x14ac:dyDescent="0.25">
      <c r="E408">
        <f>0.5*(F407+F409)*EXP(-E48*0.5)</f>
        <v>95.251839875526386</v>
      </c>
      <c r="G408">
        <f>0.5*(H407+H409)*EXP(-G48*0.5)</f>
        <v>96.152064406928503</v>
      </c>
      <c r="I408">
        <f>0.5*(J407+J409)*EXP(-I48*0.5)</f>
        <v>96.999465923708343</v>
      </c>
      <c r="K408">
        <f>0.5*(L407+L409)*EXP(-K48*0.5)</f>
        <v>97.748041950229762</v>
      </c>
      <c r="M408">
        <f>0.5*(N407+N409)*EXP(-M48*0.5)</f>
        <v>98.372888174107359</v>
      </c>
      <c r="O408">
        <f>0.5*(P407+P409)*EXP(-O48*0.5)</f>
        <v>98.824790133310913</v>
      </c>
      <c r="Q408">
        <f>0.5*(R407+R409)*EXP(-Q48*0.5)</f>
        <v>99.354770744833033</v>
      </c>
    </row>
    <row r="409" spans="1:18" x14ac:dyDescent="0.25">
      <c r="F409">
        <f>0.5*(G408+G410)*EXP(-F49*0.5)</f>
        <v>97.012512999060647</v>
      </c>
      <c r="H409">
        <f>0.5*(I408+I410)*EXP(-H49*0.5)</f>
        <v>97.64271500353091</v>
      </c>
      <c r="J409">
        <f>0.5*(K408+K410)*EXP(-J49*0.5)</f>
        <v>98.177567541978931</v>
      </c>
      <c r="L409">
        <f>0.5*(M408+M410)*EXP(-L49*0.5)</f>
        <v>98.669394502823181</v>
      </c>
      <c r="N409">
        <f>0.5*(O408+O410)*EXP(-N49*0.5)</f>
        <v>99.044152712640226</v>
      </c>
      <c r="P409">
        <f>0.5*(Q408+Q410)*EXP(-P49*0.5)</f>
        <v>99.281689790587862</v>
      </c>
      <c r="R409">
        <v>100</v>
      </c>
    </row>
    <row r="410" spans="1:18" x14ac:dyDescent="0.25">
      <c r="G410">
        <f>0.5*(H409+H411)*EXP(-G50*0.5)</f>
        <v>98.163931519824743</v>
      </c>
      <c r="I410">
        <f>0.5*(J409+J411)*EXP(-I50*0.5)</f>
        <v>98.573723784684177</v>
      </c>
      <c r="K410">
        <f>0.5*(L409+L411)*EXP(-K50*0.5)</f>
        <v>98.927364101587386</v>
      </c>
      <c r="M410">
        <f>0.5*(N409+N411)*EXP(-M50*0.5)</f>
        <v>99.214230374341568</v>
      </c>
      <c r="O410">
        <f>0.5*(P409+P411)*EXP(-O50*0.5)</f>
        <v>99.443678074029805</v>
      </c>
      <c r="Q410">
        <f>0.5*(R409+R411)*EXP(-Q50*0.5)</f>
        <v>99.653164275353106</v>
      </c>
    </row>
    <row r="411" spans="1:18" x14ac:dyDescent="0.25">
      <c r="H411">
        <f>0.5*(I410+I412)*EXP(-H51*0.5)</f>
        <v>98.877246383423667</v>
      </c>
      <c r="J411">
        <f>0.5*(K410+K412)*EXP(-J51*0.5)</f>
        <v>99.128785080915463</v>
      </c>
      <c r="L411">
        <f>0.5*(M410+M412)*EXP(-L51*0.5)</f>
        <v>99.359669017506945</v>
      </c>
      <c r="N411">
        <f>0.5*(O410+O412)*EXP(-N51*0.5)</f>
        <v>99.525372426783207</v>
      </c>
      <c r="P411">
        <f>0.5*(Q410+Q412)*EXP(-P51*0.5)</f>
        <v>99.61378704233033</v>
      </c>
      <c r="R411">
        <v>100</v>
      </c>
    </row>
    <row r="412" spans="1:18" x14ac:dyDescent="0.25">
      <c r="I412">
        <f>0.5*(J411+J413)*EXP(-I52*0.5)</f>
        <v>99.314586071466707</v>
      </c>
      <c r="K412">
        <f>0.5*(L411+L413)*EXP(-K52*0.5)</f>
        <v>99.478701086007035</v>
      </c>
      <c r="M412">
        <f>0.5*(N411+N413)*EXP(-M52*0.5)</f>
        <v>99.604802112789656</v>
      </c>
      <c r="O412">
        <f>0.5*(P411+P413)*EXP(-O52*0.5)</f>
        <v>99.679249132463113</v>
      </c>
      <c r="Q412">
        <f>0.5*(R411+R413)*EXP(-Q52*0.5)</f>
        <v>99.813691653753338</v>
      </c>
    </row>
    <row r="413" spans="1:18" x14ac:dyDescent="0.25">
      <c r="J413">
        <f>0.5*(K412+K414)*EXP(-J53*0.5)</f>
        <v>99.573921973562989</v>
      </c>
      <c r="L413">
        <f>0.5*(M412+M414)*EXP(-L53*0.5)</f>
        <v>99.678251296095581</v>
      </c>
      <c r="N413">
        <f>0.5*(O412+O414)*EXP(-N53*0.5)</f>
        <v>99.740700856581043</v>
      </c>
      <c r="P413">
        <f>0.5*(Q412+Q414)*EXP(-P53*0.5)</f>
        <v>99.792512617394394</v>
      </c>
      <c r="R413">
        <v>100</v>
      </c>
    </row>
    <row r="414" spans="1:18" x14ac:dyDescent="0.25">
      <c r="K414">
        <f>0.5*(L413+L415)*EXP(-K54*0.5)</f>
        <v>99.737655075792546</v>
      </c>
      <c r="M414">
        <f>0.5*(N413+N415)*EXP(-M54*0.5)</f>
        <v>99.791582294097978</v>
      </c>
      <c r="O414">
        <f>0.5*(P413+P415)*EXP(-O54*0.5)</f>
        <v>99.83099966874039</v>
      </c>
      <c r="Q414">
        <f>0.5*(R413+R415)*EXP(-Q54*0.5)</f>
        <v>99.899958777298977</v>
      </c>
    </row>
    <row r="415" spans="1:18" x14ac:dyDescent="0.25">
      <c r="L415">
        <f>0.5*(M414+M416)*EXP(-L55*0.5)</f>
        <v>99.834141729669597</v>
      </c>
      <c r="N415">
        <f>0.5*(O414+O416)*EXP(-N55*0.5)</f>
        <v>99.865025170130124</v>
      </c>
      <c r="P415">
        <f>0.5*(Q414+Q416)*EXP(-P55*0.5)</f>
        <v>99.888578611675513</v>
      </c>
      <c r="R415">
        <v>100</v>
      </c>
    </row>
    <row r="416" spans="1:18" x14ac:dyDescent="0.25">
      <c r="M416">
        <f>0.5*(N415+N417)*EXP(-M56*0.5)</f>
        <v>99.892630828726354</v>
      </c>
      <c r="O416">
        <f>0.5*(P415+P417)*EXP(-O56*0.5)</f>
        <v>99.910569379742228</v>
      </c>
      <c r="Q416">
        <f>0.5*(R415+R417)*EXP(-Q56*0.5)</f>
        <v>99.946292022714886</v>
      </c>
    </row>
    <row r="417" spans="12:22" x14ac:dyDescent="0.25">
      <c r="N417">
        <f>0.5*(O416+O418)*EXP(-N57*0.5)</f>
        <v>99.929243301170075</v>
      </c>
      <c r="P417">
        <f>0.5*(Q416+Q418)*EXP(-P57*0.5)</f>
        <v>99.940180262678453</v>
      </c>
      <c r="R417">
        <v>100</v>
      </c>
    </row>
    <row r="418" spans="12:22" x14ac:dyDescent="0.25">
      <c r="O418">
        <f>0.5*(P417+P419)*EXP(-O58*0.5)</f>
        <v>99.952514017278432</v>
      </c>
      <c r="Q418">
        <f>0.5*(R417+R419)*EXP(-Q58*0.5)</f>
        <v>99.971169513854207</v>
      </c>
    </row>
    <row r="419" spans="12:22" x14ac:dyDescent="0.25">
      <c r="P419">
        <f>0.5*(Q418+Q420)*EXP(-P59*0.5)</f>
        <v>99.967888081786995</v>
      </c>
      <c r="R419">
        <v>100</v>
      </c>
    </row>
    <row r="420" spans="12:22" x14ac:dyDescent="0.25">
      <c r="Q420">
        <f>0.5*(R419+R421)*EXP(-Q60*0.5)</f>
        <v>99.984524663508097</v>
      </c>
    </row>
    <row r="421" spans="12:22" x14ac:dyDescent="0.25">
      <c r="R421">
        <v>100</v>
      </c>
    </row>
    <row r="425" spans="12:22" x14ac:dyDescent="0.25">
      <c r="S425">
        <v>100</v>
      </c>
      <c r="U425">
        <f>0.5*LN(R27/R29)/SQRT(0.5)</f>
        <v>0.43999973398258091</v>
      </c>
      <c r="V425">
        <f>(C19-U425)^2*100000</f>
        <v>7.076526726074771E-9</v>
      </c>
    </row>
    <row r="426" spans="12:22" x14ac:dyDescent="0.25">
      <c r="R426">
        <f>0.5*(S425+S427)*EXP(-R27*0.5)</f>
        <v>10.87150696907455</v>
      </c>
      <c r="V426">
        <f>(D19-A443)^2*100000</f>
        <v>3.0482329685245318E-10</v>
      </c>
    </row>
    <row r="427" spans="12:22" x14ac:dyDescent="0.25">
      <c r="Q427">
        <f>0.5*(R426+R428)*EXP(-Q28*0.5)</f>
        <v>0.7901583298211895</v>
      </c>
      <c r="S427">
        <v>100</v>
      </c>
      <c r="V427">
        <f>V425+V426</f>
        <v>7.3813500229272239E-9</v>
      </c>
    </row>
    <row r="428" spans="12:22" x14ac:dyDescent="0.25">
      <c r="P428">
        <f>0.5*(Q427+Q429)*EXP(-P29*0.5)</f>
        <v>1.2972633716877973</v>
      </c>
      <c r="R428">
        <f>0.5*(S427+S429)*EXP(-R29*0.5)</f>
        <v>30.390960627203107</v>
      </c>
    </row>
    <row r="429" spans="12:22" x14ac:dyDescent="0.25">
      <c r="O429">
        <f>0.5*(P428+P430)*EXP(-O30*0.5)</f>
        <v>1.3455090958084151E-2</v>
      </c>
      <c r="Q429">
        <f>0.5*(R428+R430)*EXP(-Q30*0.5)</f>
        <v>7.2182007887539283</v>
      </c>
      <c r="S429">
        <v>100</v>
      </c>
    </row>
    <row r="430" spans="12:22" x14ac:dyDescent="0.25">
      <c r="N430">
        <f>0.5*(O429+O431)*EXP(-N31*0.5)</f>
        <v>2.3188696072317883E-2</v>
      </c>
      <c r="P430">
        <f>0.5*(Q429+Q431)*EXP(-P31*0.5)</f>
        <v>8.5704440377275013</v>
      </c>
      <c r="R430">
        <f>0.5*(S429+S431)*EXP(-R31*0.5)</f>
        <v>52.768118421960686</v>
      </c>
    </row>
    <row r="431" spans="12:22" x14ac:dyDescent="0.25">
      <c r="M431">
        <f>0.5*(N430+N432)*EXP(-M32*0.5)</f>
        <v>5.9993038896752587E-2</v>
      </c>
      <c r="O431">
        <f>0.5*(P430+P432)*EXP(-O32*0.5)</f>
        <v>1.6192186591339448</v>
      </c>
      <c r="Q431">
        <f>0.5*(R430+R432)*EXP(-Q32*0.5)</f>
        <v>24.169278647486472</v>
      </c>
      <c r="S431">
        <v>100</v>
      </c>
    </row>
    <row r="432" spans="12:22" x14ac:dyDescent="0.25">
      <c r="L432">
        <f>0.5*(M431+M433)*EXP(-L33*0.5)</f>
        <v>0.20158019690136589</v>
      </c>
      <c r="N432">
        <f>0.5*(O431+O433)*EXP(-N33*0.5)</f>
        <v>1.918289421083738</v>
      </c>
      <c r="P432">
        <f>0.5*(Q431+Q433)*EXP(-P33*0.5)</f>
        <v>25.55155085938668</v>
      </c>
      <c r="R432">
        <f>0.5*(S431+S433)*EXP(-R33*0.5)</f>
        <v>70.955741518339863</v>
      </c>
    </row>
    <row r="433" spans="1:19" x14ac:dyDescent="0.25">
      <c r="K433">
        <f>0.5*(L432+L434)*EXP(-K34*0.5)</f>
        <v>1.5900955101568863</v>
      </c>
      <c r="M433">
        <f>0.5*(N432+N434)*EXP(-M34*0.5)</f>
        <v>2.8158348206941408</v>
      </c>
      <c r="O433">
        <f>0.5*(P432+P434)*EXP(-O34*0.5)</f>
        <v>14.257482880158481</v>
      </c>
      <c r="Q433">
        <f>0.5*(R432+R434)*EXP(-Q34*0.5)</f>
        <v>46.537250088385996</v>
      </c>
      <c r="S433">
        <v>100</v>
      </c>
    </row>
    <row r="434" spans="1:19" x14ac:dyDescent="0.25">
      <c r="J434">
        <f>0.5*(K433+K435)*EXP(-J35*0.5)</f>
        <v>4.4079744524209969</v>
      </c>
      <c r="L434">
        <f>0.5*(M433+M435)*EXP(-L35*0.5)</f>
        <v>4.755508076458578</v>
      </c>
      <c r="N434">
        <f>0.5*(O433+O435)*EXP(-N35*0.5)</f>
        <v>15.174548995454723</v>
      </c>
      <c r="P434">
        <f>0.5*(Q433+Q435)*EXP(-P35*0.5)</f>
        <v>47.385400587729961</v>
      </c>
      <c r="R434">
        <f>0.5*(S433+S435)*EXP(-R35*0.5)</f>
        <v>83.180212024278205</v>
      </c>
    </row>
    <row r="435" spans="1:19" x14ac:dyDescent="0.25">
      <c r="I435">
        <f>0.5*(J434+J436)*EXP(-I36*0.5)</f>
        <v>9.5711864400415472</v>
      </c>
      <c r="K435">
        <f>0.5*(L434+L436)*EXP(-K36*0.5)</f>
        <v>11.267099979921342</v>
      </c>
      <c r="M435">
        <f>0.5*(N434+N436)*EXP(-M36*0.5)</f>
        <v>18.006804391784193</v>
      </c>
      <c r="O435">
        <f>0.5*(P434+P436)*EXP(-O36*0.5)</f>
        <v>39.21692212546948</v>
      </c>
      <c r="Q435">
        <f>0.5*(R434+R436)*EXP(-Q36*0.5)</f>
        <v>66.276108706479079</v>
      </c>
      <c r="S435">
        <v>100</v>
      </c>
    </row>
    <row r="436" spans="1:19" x14ac:dyDescent="0.25">
      <c r="H436">
        <f>0.5*(I435+I437)*EXP(-H37*0.5)</f>
        <v>16.054998211542738</v>
      </c>
      <c r="J436">
        <f>0.5*(K435+K437)*EXP(-J37*0.5)</f>
        <v>18.660073527742409</v>
      </c>
      <c r="L436">
        <f>0.5*(M435+M437)*EXP(-L37*0.5)</f>
        <v>22.875944351050919</v>
      </c>
      <c r="N436">
        <f>0.5*(O435+O437)*EXP(-N37*0.5)</f>
        <v>40.900500954382601</v>
      </c>
      <c r="P436">
        <f>0.5*(Q435+Q437)*EXP(-P37*0.5)</f>
        <v>66.684981443589393</v>
      </c>
      <c r="R436">
        <f>0.5*(S435+S437)*EXP(-R37*0.5)</f>
        <v>90.588291178460338</v>
      </c>
    </row>
    <row r="437" spans="1:19" x14ac:dyDescent="0.25">
      <c r="G437">
        <f>0.5*(H436+H438)*EXP(-G38*0.5)</f>
        <v>24.85756806195575</v>
      </c>
      <c r="I437">
        <f>0.5*(J436+J438)*EXP(-I38*0.5)</f>
        <v>27.983167369044292</v>
      </c>
      <c r="K437">
        <f>0.5*(L436+L438)*EXP(-K38*0.5)</f>
        <v>33.117240258184069</v>
      </c>
      <c r="M437">
        <f>0.5*(N436+N438)*EXP(-M38*0.5)</f>
        <v>44.52942485642707</v>
      </c>
      <c r="O437">
        <f>0.5*(P436+P438)*EXP(-O38*0.5)</f>
        <v>63.317345130463728</v>
      </c>
      <c r="Q437">
        <f>0.5*(R436+R438)*EXP(-Q38*0.5)</f>
        <v>80.171140002060994</v>
      </c>
      <c r="S437">
        <v>100</v>
      </c>
    </row>
    <row r="438" spans="1:19" x14ac:dyDescent="0.25">
      <c r="F438">
        <f>0.5*(G437+G439)*EXP(-F39*0.5)</f>
        <v>34.143543618676738</v>
      </c>
      <c r="H438">
        <f>0.5*(I437+I439)*EXP(-H39*0.5)</f>
        <v>37.161496452589276</v>
      </c>
      <c r="J438">
        <f>0.5*(K437+K439)*EXP(-J39*0.5)</f>
        <v>42.314088601844091</v>
      </c>
      <c r="L438">
        <f>0.5*(M437+M439)*EXP(-L39*0.5)</f>
        <v>49.863501059618343</v>
      </c>
      <c r="N438">
        <f>0.5*(O437+O439)*EXP(-N39*0.5)</f>
        <v>65.359997479190696</v>
      </c>
      <c r="P438">
        <f>0.5*(Q437+Q439)*EXP(-P39*0.5)</f>
        <v>80.352756817110887</v>
      </c>
      <c r="R438">
        <f>0.5*(S437+S439)*EXP(-R39*0.5)</f>
        <v>94.832923828851563</v>
      </c>
    </row>
    <row r="439" spans="1:19" x14ac:dyDescent="0.25">
      <c r="E439">
        <f>0.5*(F438+F440)*EXP(-E40*0.5)</f>
        <v>43.878713502322164</v>
      </c>
      <c r="G439">
        <f>0.5*(H438+H440)*EXP(-G40*0.5)</f>
        <v>47.032638333151752</v>
      </c>
      <c r="I439">
        <f>0.5*(J438+J440)*EXP(-I40*0.5)</f>
        <v>51.884701570753272</v>
      </c>
      <c r="K439">
        <f>0.5*(L438+L440)*EXP(-K40*0.5)</f>
        <v>58.526359690245279</v>
      </c>
      <c r="M439">
        <f>0.5*(N438+N440)*EXP(-M40*0.5)</f>
        <v>68.435066337834854</v>
      </c>
      <c r="O439">
        <f>0.5*(P438+P440)*EXP(-O40*0.5)</f>
        <v>79.726989890364791</v>
      </c>
      <c r="Q439">
        <f>0.5*(R438+R440)*EXP(-Q40*0.5)</f>
        <v>88.808583616054108</v>
      </c>
      <c r="S439">
        <v>100</v>
      </c>
    </row>
    <row r="440" spans="1:19" x14ac:dyDescent="0.25">
      <c r="D440">
        <f>0.5*(E439+E441)*EXP(-D41*0.5)</f>
        <v>52.892344539803439</v>
      </c>
      <c r="F440">
        <f>0.5*(G439+G441)*EXP(-F41*0.5)</f>
        <v>55.995499314250786</v>
      </c>
      <c r="H440">
        <f>0.5*(I439+I441)*EXP(-H41*0.5)</f>
        <v>60.113959852948668</v>
      </c>
      <c r="J440">
        <f>0.5*(K439+K441)*EXP(-J41*0.5)</f>
        <v>65.622332763852754</v>
      </c>
      <c r="L440">
        <f>0.5*(M439+M441)*EXP(-L41*0.5)</f>
        <v>72.336973807580137</v>
      </c>
      <c r="N440">
        <f>0.5*(O439+O441)*EXP(-N41*0.5)</f>
        <v>81.497554467130939</v>
      </c>
      <c r="P440">
        <f>0.5*(Q439+Q441)*EXP(-P41*0.5)</f>
        <v>88.88972404344733</v>
      </c>
      <c r="R440">
        <f>0.5*(S439+S441)*EXP(-R41*0.5)</f>
        <v>97.192599759549978</v>
      </c>
    </row>
    <row r="441" spans="1:19" x14ac:dyDescent="0.25">
      <c r="C441">
        <f>0.5*(D440+D442)*EXP(-C42*0.5)</f>
        <v>61.194771566353509</v>
      </c>
      <c r="E441">
        <f>0.5*(F440+F442)*EXP(-E42*0.5)</f>
        <v>64.2724610119093</v>
      </c>
      <c r="G441">
        <f>0.5*(H440+H442)*EXP(-G42*0.5)</f>
        <v>67.833999702100101</v>
      </c>
      <c r="I441">
        <f>0.5*(J440+J442)*EXP(-I42*0.5)</f>
        <v>72.383871341351238</v>
      </c>
      <c r="K441">
        <f>0.5*(L440+L442)*EXP(-K42*0.5)</f>
        <v>77.609099836069319</v>
      </c>
      <c r="M441">
        <f>0.5*(N440+N442)*EXP(-M42*0.5)</f>
        <v>83.612069383940366</v>
      </c>
      <c r="O441">
        <f>0.5*(P440+P442)*EXP(-O42*0.5)</f>
        <v>89.23147525652233</v>
      </c>
      <c r="Q441">
        <f>0.5*(R440+R442)*EXP(-Q42*0.5)</f>
        <v>93.826576439834852</v>
      </c>
      <c r="S441">
        <v>100</v>
      </c>
    </row>
    <row r="442" spans="1:19" x14ac:dyDescent="0.25">
      <c r="B442">
        <f>0.5*(C441+C443)*EXP(-B43*0.5)</f>
        <v>68.522902534347466</v>
      </c>
      <c r="D442">
        <f>0.5*(E441+E443)*EXP(-D43*0.5)</f>
        <v>71.169223450651245</v>
      </c>
      <c r="F442">
        <f>0.5*(G441+G443)*EXP(-F43*0.5)</f>
        <v>74.257835611570215</v>
      </c>
      <c r="H442">
        <f>0.5*(I441+I443)*EXP(-H43*0.5)</f>
        <v>77.817512628415912</v>
      </c>
      <c r="J442">
        <f>0.5*(K441+K443)*EXP(-J43*0.5)</f>
        <v>81.787712964553606</v>
      </c>
      <c r="L442">
        <f>0.5*(M441+M443)*EXP(-L43*0.5)</f>
        <v>85.980774722800263</v>
      </c>
      <c r="N442">
        <f>0.5*(O441+O443)*EXP(-N43*0.5)</f>
        <v>90.49038305663106</v>
      </c>
      <c r="P442">
        <f>0.5*(Q441+Q443)*EXP(-P43*0.5)</f>
        <v>93.864403859443186</v>
      </c>
      <c r="R442">
        <f>0.5*(S441+S443)*EXP(-R43*0.5)</f>
        <v>98.483239017649041</v>
      </c>
    </row>
    <row r="443" spans="1:19" x14ac:dyDescent="0.25">
      <c r="A443">
        <f>0.5*(B442+B444)*EXP(-A44*0.5)</f>
        <v>74.976159168693314</v>
      </c>
      <c r="C443">
        <f>0.5*(D442+D444)*EXP(-C44*0.5)</f>
        <v>77.051635337342717</v>
      </c>
      <c r="E443">
        <f>0.5*(F442+F444)*EXP(-E44*0.5)</f>
        <v>79.766303670804135</v>
      </c>
      <c r="G443">
        <f>0.5*(H442+H444)*EXP(-G44*0.5)</f>
        <v>82.549906890736807</v>
      </c>
      <c r="I443">
        <f>0.5*(J442+J444)*EXP(-I44*0.5)</f>
        <v>85.632681335526442</v>
      </c>
      <c r="K443">
        <f>0.5*(L442+L444)*EXP(-K44*0.5)</f>
        <v>88.739007244832138</v>
      </c>
      <c r="M443">
        <f>0.5*(N442+N444)*EXP(-M44*0.5)</f>
        <v>91.792573186746424</v>
      </c>
      <c r="O443">
        <f>0.5*(P442+P444)*EXP(-O44*0.5)</f>
        <v>94.36155943063973</v>
      </c>
      <c r="Q443">
        <f>0.5*(R442+R444)*EXP(-Q44*0.5)</f>
        <v>96.637126728460231</v>
      </c>
      <c r="S443">
        <v>100</v>
      </c>
    </row>
    <row r="444" spans="1:19" x14ac:dyDescent="0.25">
      <c r="B444">
        <f>0.5*(C443+C445)*EXP(-B45*0.5)</f>
        <v>81.925075842806748</v>
      </c>
      <c r="D444">
        <f>0.5*(E443+E445)*EXP(-D45*0.5)</f>
        <v>84.060470355810935</v>
      </c>
      <c r="F444">
        <f>0.5*(G443+G445)*EXP(-F45*0.5)</f>
        <v>86.316703067228261</v>
      </c>
      <c r="H444">
        <f>0.5*(I443+I445)*EXP(-H45*0.5)</f>
        <v>88.634768176416998</v>
      </c>
      <c r="J444">
        <f>0.5*(K443+K445)*EXP(-J45*0.5)</f>
        <v>90.906711540053436</v>
      </c>
      <c r="L444">
        <f>0.5*(M443+M445)*EXP(-L45*0.5)</f>
        <v>93.116706005111809</v>
      </c>
      <c r="N444">
        <f>0.5*(O443+O445)*EXP(-N45*0.5)</f>
        <v>95.162964099026439</v>
      </c>
      <c r="P444">
        <f>0.5*(Q443+Q445)*EXP(-P45*0.5)</f>
        <v>96.655607615999003</v>
      </c>
      <c r="R444">
        <f>0.5*(S443+S445)*EXP(-R45*0.5)</f>
        <v>99.18302203262607</v>
      </c>
    </row>
    <row r="445" spans="1:19" x14ac:dyDescent="0.25">
      <c r="C445">
        <f>0.5*(D444+D446)*EXP(-C46*0.5)</f>
        <v>87.567398782991773</v>
      </c>
      <c r="E445">
        <f>0.5*(F444+F446)*EXP(-E46*0.5)</f>
        <v>89.429596500969424</v>
      </c>
      <c r="G445">
        <f>0.5*(H444+H446)*EXP(-G46*0.5)</f>
        <v>91.150865774491805</v>
      </c>
      <c r="I445">
        <f>0.5*(J444+J446)*EXP(-I46*0.5)</f>
        <v>92.877919537327543</v>
      </c>
      <c r="K445">
        <f>0.5*(L444+L446)*EXP(-K46*0.5)</f>
        <v>94.483798225496059</v>
      </c>
      <c r="M445">
        <f>0.5*(N444+N446)*EXP(-M46*0.5)</f>
        <v>95.919130641361122</v>
      </c>
      <c r="O445">
        <f>0.5*(P444+P446)*EXP(-O46*0.5)</f>
        <v>97.055279240891338</v>
      </c>
      <c r="Q445">
        <f>0.5*(R444+R446)*EXP(-Q46*0.5)</f>
        <v>98.180583758456962</v>
      </c>
      <c r="S445">
        <v>100</v>
      </c>
    </row>
    <row r="446" spans="1:19" x14ac:dyDescent="0.25">
      <c r="D446">
        <f>0.5*(E445+E447)*EXP(-D47*0.5)</f>
        <v>91.760269353420924</v>
      </c>
      <c r="F446">
        <f>0.5*(G445+G447)*EXP(-F47*0.5)</f>
        <v>93.117520831902965</v>
      </c>
      <c r="H446">
        <f>0.5*(I445+I447)*EXP(-H47*0.5)</f>
        <v>94.401780453582973</v>
      </c>
      <c r="J446">
        <f>0.5*(K445+K447)*EXP(-J47*0.5)</f>
        <v>95.559598136729704</v>
      </c>
      <c r="L446">
        <f>0.5*(M445+M447)*EXP(-L47*0.5)</f>
        <v>96.641105501605637</v>
      </c>
      <c r="N446">
        <f>0.5*(O445+O447)*EXP(-N47*0.5)</f>
        <v>97.5343218895174</v>
      </c>
      <c r="P446">
        <f>0.5*(Q445+Q447)*EXP(-P47*0.5)</f>
        <v>98.189949895220508</v>
      </c>
      <c r="R446">
        <f>0.5*(S445+S447)*EXP(-R47*0.5)</f>
        <v>99.560667423118161</v>
      </c>
    </row>
    <row r="447" spans="1:19" x14ac:dyDescent="0.25">
      <c r="E447">
        <f>0.5*(F446+F448)*EXP(-E48*0.5)</f>
        <v>94.7198283823314</v>
      </c>
      <c r="G447">
        <f>0.5*(H446+H448)*EXP(-G48*0.5)</f>
        <v>95.651039756398902</v>
      </c>
      <c r="I447">
        <f>0.5*(J446+J448)*EXP(-I48*0.5)</f>
        <v>96.531747579353762</v>
      </c>
      <c r="K447">
        <f>0.5*(L446+L448)*EXP(-K48*0.5)</f>
        <v>97.314598653698667</v>
      </c>
      <c r="M447">
        <f>0.5*(N446+N448)*EXP(-M48*0.5)</f>
        <v>97.973516848750748</v>
      </c>
      <c r="O447">
        <f>0.5*(P446+P448)*EXP(-O48*0.5)</f>
        <v>98.458519973191926</v>
      </c>
      <c r="Q447">
        <f>0.5*(R446+R448)*EXP(-Q48*0.5)</f>
        <v>99.01926082843238</v>
      </c>
      <c r="S447">
        <v>100</v>
      </c>
    </row>
    <row r="448" spans="1:19" x14ac:dyDescent="0.25">
      <c r="F448">
        <f>0.5*(G447+G449)*EXP(-F49*0.5)</f>
        <v>96.622193646828222</v>
      </c>
      <c r="H448">
        <f>0.5*(I447+I449)*EXP(-H49*0.5)</f>
        <v>97.280114344867286</v>
      </c>
      <c r="J448">
        <f>0.5*(K447+K449)*EXP(-J49*0.5)</f>
        <v>97.842783351629649</v>
      </c>
      <c r="L448">
        <f>0.5*(M447+M449)*EXP(-L49*0.5)</f>
        <v>98.361577470185878</v>
      </c>
      <c r="N448">
        <f>0.5*(O447+O449)*EXP(-N49*0.5)</f>
        <v>98.762178006547558</v>
      </c>
      <c r="P448">
        <f>0.5*(Q447+Q449)*EXP(-P49*0.5)</f>
        <v>99.024124173995205</v>
      </c>
      <c r="R448">
        <f>0.5*(S447+S449)*EXP(-R49*0.5)</f>
        <v>99.76395501043902</v>
      </c>
    </row>
    <row r="449" spans="7:19" x14ac:dyDescent="0.25">
      <c r="G449">
        <f>0.5*(H448+H450)*EXP(-G50*0.5)</f>
        <v>97.883146779855807</v>
      </c>
      <c r="I449">
        <f>0.5*(J448+J450)*EXP(-I50*0.5)</f>
        <v>98.315172202985977</v>
      </c>
      <c r="K449">
        <f>0.5*(L448+L450)*EXP(-K50*0.5)</f>
        <v>98.690146897709184</v>
      </c>
      <c r="M449">
        <f>0.5*(N448+N450)*EXP(-M50*0.5)</f>
        <v>98.997192925473882</v>
      </c>
      <c r="O449">
        <f>0.5*(P448+P450)*EXP(-O50*0.5)</f>
        <v>99.245485905792989</v>
      </c>
      <c r="Q449">
        <f>0.5*(R448+R450)*EXP(-Q50*0.5)</f>
        <v>99.472389652294154</v>
      </c>
      <c r="S449">
        <v>100</v>
      </c>
    </row>
    <row r="450" spans="7:19" x14ac:dyDescent="0.25">
      <c r="H450">
        <f>0.5*(I449+I451)*EXP(-H51*0.5)</f>
        <v>98.677728090631078</v>
      </c>
      <c r="J450">
        <f>0.5*(K449+K451)*EXP(-J51*0.5)</f>
        <v>98.946049311674074</v>
      </c>
      <c r="L450">
        <f>0.5*(M449+M451)*EXP(-L51*0.5)</f>
        <v>99.192633605004048</v>
      </c>
      <c r="N450">
        <f>0.5*(O449+O451)*EXP(-N51*0.5)</f>
        <v>99.372963647799992</v>
      </c>
      <c r="P450">
        <f>0.5*(Q449+Q451)*EXP(-P51*0.5)</f>
        <v>99.474952137849428</v>
      </c>
      <c r="R450">
        <f>0.5*(S449+S451)*EXP(-R51*0.5)</f>
        <v>99.873237397100681</v>
      </c>
    </row>
    <row r="451" spans="7:19" x14ac:dyDescent="0.25">
      <c r="I451">
        <f>0.5*(J450+J452)*EXP(-I52*0.5)</f>
        <v>99.173831046334399</v>
      </c>
      <c r="K451">
        <f>0.5*(L450+L452)*EXP(-K52*0.5)</f>
        <v>99.350173013025284</v>
      </c>
      <c r="M451">
        <f>0.5*(N450+N452)*EXP(-M52*0.5)</f>
        <v>99.487601138428857</v>
      </c>
      <c r="O451">
        <f>0.5*(P450+P452)*EXP(-O52*0.5)</f>
        <v>99.572513205852246</v>
      </c>
      <c r="Q451">
        <f>0.5*(R450+R452)*EXP(-Q52*0.5)</f>
        <v>99.716462973130447</v>
      </c>
      <c r="S451">
        <v>100</v>
      </c>
    </row>
    <row r="452" spans="7:19" x14ac:dyDescent="0.25">
      <c r="J452">
        <f>0.5*(K451+K453)*EXP(-J53*0.5)</f>
        <v>99.475043474129038</v>
      </c>
      <c r="L452">
        <f>0.5*(M451+M453)*EXP(-L53*0.5)</f>
        <v>99.588126531908117</v>
      </c>
      <c r="N452">
        <f>0.5*(O451+O453)*EXP(-N53*0.5)</f>
        <v>99.658641241967985</v>
      </c>
      <c r="P452">
        <f>0.5*(Q451+Q453)*EXP(-P53*0.5)</f>
        <v>99.71782448321413</v>
      </c>
      <c r="R452">
        <f>0.5*(S451+S453)*EXP(-R53*0.5)</f>
        <v>99.931942275122736</v>
      </c>
    </row>
    <row r="453" spans="7:19" x14ac:dyDescent="0.25">
      <c r="K453">
        <f>0.5*(L452+L454)*EXP(-K54*0.5)</f>
        <v>99.668358116179874</v>
      </c>
      <c r="M453">
        <f>0.5*(N452+N454)*EXP(-M54*0.5)</f>
        <v>99.728497680671722</v>
      </c>
      <c r="O453">
        <f>0.5*(P452+P454)*EXP(-O54*0.5)</f>
        <v>99.773592632775475</v>
      </c>
      <c r="Q453">
        <f>0.5*(R452+R454)*EXP(-Q54*0.5)</f>
        <v>99.847714922059239</v>
      </c>
      <c r="S453">
        <v>100</v>
      </c>
    </row>
    <row r="454" spans="7:19" x14ac:dyDescent="0.25">
      <c r="L454">
        <f>0.5*(M453+M455)*EXP(-L55*0.5)</f>
        <v>99.785646809734473</v>
      </c>
      <c r="N454">
        <f>0.5*(O453+O455)*EXP(-N55*0.5)</f>
        <v>99.820901295368799</v>
      </c>
      <c r="P454">
        <f>0.5*(Q453+Q455)*EXP(-P55*0.5)</f>
        <v>99.848441695282958</v>
      </c>
      <c r="R454">
        <f>0.5*(S453+S455)*EXP(-R55*0.5)</f>
        <v>99.963465378936064</v>
      </c>
    </row>
    <row r="455" spans="7:19" x14ac:dyDescent="0.25">
      <c r="M455">
        <f>0.5*(N454+N456)*EXP(-M56*0.5)</f>
        <v>99.858717864370846</v>
      </c>
      <c r="O455">
        <f>0.5*(P454+P456)*EXP(-O56*0.5)</f>
        <v>99.879723576814754</v>
      </c>
      <c r="Q455">
        <f>0.5*(R454+R456)*EXP(-Q56*0.5)</f>
        <v>99.918234282204565</v>
      </c>
      <c r="S455">
        <v>100</v>
      </c>
    </row>
    <row r="456" spans="7:19" x14ac:dyDescent="0.25">
      <c r="N456">
        <f>0.5*(O455+O457)*EXP(-N57*0.5)</f>
        <v>99.905538189459733</v>
      </c>
      <c r="P456">
        <f>0.5*(Q455+Q457)*EXP(-P57*0.5)</f>
        <v>99.918623220626515</v>
      </c>
      <c r="R456">
        <f>0.5*(S455+S457)*EXP(-R57*0.5)</f>
        <v>99.980388985358019</v>
      </c>
    </row>
    <row r="457" spans="7:19" x14ac:dyDescent="0.25">
      <c r="O457">
        <f>0.5*(P456+P458)*EXP(-O58*0.5)</f>
        <v>99.935948506338363</v>
      </c>
      <c r="Q457">
        <f>0.5*(R456+R458)*EXP(-Q58*0.5)</f>
        <v>99.956105167592852</v>
      </c>
      <c r="S457">
        <v>100</v>
      </c>
    </row>
    <row r="458" spans="7:19" x14ac:dyDescent="0.25">
      <c r="P458">
        <f>0.5*(Q457+Q459)*EXP(-P59*0.5)</f>
        <v>99.956313598076648</v>
      </c>
      <c r="R458">
        <f>0.5*(S457+S459)*EXP(-R59*0.5)</f>
        <v>99.989473633365733</v>
      </c>
    </row>
    <row r="459" spans="7:19" x14ac:dyDescent="0.25">
      <c r="Q459">
        <f>0.5*(R458+R460)*EXP(-Q60*0.5)</f>
        <v>99.976437736200964</v>
      </c>
      <c r="S459">
        <v>100</v>
      </c>
    </row>
    <row r="460" spans="7:19" x14ac:dyDescent="0.25">
      <c r="R460">
        <f>0.5*(S459+S461)*EXP(-R61*0.5)</f>
        <v>99.994350008674175</v>
      </c>
    </row>
    <row r="461" spans="7:19" x14ac:dyDescent="0.25">
      <c r="S461">
        <v>100</v>
      </c>
    </row>
    <row r="465" spans="5:23" x14ac:dyDescent="0.25">
      <c r="T465">
        <v>100</v>
      </c>
      <c r="V465">
        <f>0.5*LN(S26/S28)/SQRT(0.5)</f>
        <v>0.39999987576701029</v>
      </c>
      <c r="W465">
        <f>(C20-V465)^2*1000000</f>
        <v>1.5433835736970123E-8</v>
      </c>
    </row>
    <row r="466" spans="5:23" x14ac:dyDescent="0.25">
      <c r="S466">
        <f>0.5*(T465+T467)*EXP(-S26*0.5)</f>
        <v>4.3678078708952084</v>
      </c>
      <c r="W466">
        <f>(D20-A484)^2*100000</f>
        <v>5.6436479635925034E-8</v>
      </c>
    </row>
    <row r="467" spans="5:23" x14ac:dyDescent="0.25">
      <c r="R467">
        <f>0.5*(S466+S468)*EXP(-R27*0.5)</f>
        <v>1.1556905794376007</v>
      </c>
      <c r="T467">
        <v>100</v>
      </c>
      <c r="W467">
        <f>W465+W466</f>
        <v>7.1870315372895163E-8</v>
      </c>
    </row>
    <row r="468" spans="5:23" x14ac:dyDescent="0.25">
      <c r="Q468">
        <f>0.5*(R467+R469)*EXP(-Q28*0.5)</f>
        <v>0.17727033565044786</v>
      </c>
      <c r="S468">
        <f>0.5*(T467+T469)*EXP(-S28*0.5)</f>
        <v>16.89310071749307</v>
      </c>
    </row>
    <row r="469" spans="5:23" x14ac:dyDescent="0.25">
      <c r="P469">
        <f>0.5*(Q468+Q470)*EXP(-P29*0.5)</f>
        <v>0.4867746415891761</v>
      </c>
      <c r="R469">
        <f>0.5*(S468+S470)*EXP(-R29*0.5)</f>
        <v>8.1014560005562402</v>
      </c>
      <c r="T469">
        <v>100</v>
      </c>
    </row>
    <row r="470" spans="5:23" x14ac:dyDescent="0.25">
      <c r="O470">
        <f>0.5*(P469+P471)*EXP(-O30*0.5)</f>
        <v>6.8135905692748404E-3</v>
      </c>
      <c r="Q470">
        <f>0.5*(R469+R471)*EXP(-Q30*0.5)</f>
        <v>2.8277217305249778</v>
      </c>
      <c r="S470">
        <f>0.5*(T469+T471)*EXP(-S30*0.5)</f>
        <v>36.421804987097161</v>
      </c>
    </row>
    <row r="471" spans="5:23" x14ac:dyDescent="0.25">
      <c r="N471">
        <f>0.5*(O470+O472)*EXP(-N31*0.5)</f>
        <v>1.4574025909421624E-2</v>
      </c>
      <c r="P471">
        <f t="shared" ref="P471" si="1">0.5*(Q470+Q472)*EXP(-P31*0.5)</f>
        <v>4.5101828932656431</v>
      </c>
      <c r="R471">
        <f>0.5*(S470+S472)*EXP(-R31*0.5)</f>
        <v>24.476016114674117</v>
      </c>
      <c r="T471">
        <v>100</v>
      </c>
    </row>
    <row r="472" spans="5:23" x14ac:dyDescent="0.25">
      <c r="M472">
        <f>0.5*(N471+N473)*EXP(-M32*0.5)</f>
        <v>4.3560215441653949E-2</v>
      </c>
      <c r="O472">
        <f t="shared" ref="O472" si="2">0.5*(P471+P473)*EXP(-O32*0.5)</f>
        <v>1.0193169629239534</v>
      </c>
      <c r="Q472">
        <f t="shared" ref="Q472" si="3">0.5*(R471+R473)*EXP(-Q32*0.5)</f>
        <v>13.689890681724652</v>
      </c>
      <c r="S472">
        <f>0.5*(T471+T473)*EXP(-S32*0.5)</f>
        <v>56.346392351119277</v>
      </c>
    </row>
    <row r="473" spans="5:23" x14ac:dyDescent="0.25">
      <c r="L473">
        <f>0.5*(M472+M474)*EXP(-L33*0.5)</f>
        <v>0.15995738882607907</v>
      </c>
      <c r="N473">
        <f t="shared" ref="N473" si="4">0.5*(O472+O474)*EXP(-N33*0.5)</f>
        <v>1.3951096076221394</v>
      </c>
      <c r="P473">
        <f t="shared" ref="P473" si="5">0.5*(Q472+Q474)*EXP(-P33*0.5)</f>
        <v>16.970009427415796</v>
      </c>
      <c r="R473">
        <f>0.5*(S472+S474)*EXP(-R33*0.5)</f>
        <v>45.603283396396428</v>
      </c>
      <c r="T473">
        <v>100</v>
      </c>
    </row>
    <row r="474" spans="5:23" x14ac:dyDescent="0.25">
      <c r="K474">
        <f>0.5*(L473+L475)*EXP(-K34*0.5)</f>
        <v>1.3365746663358584</v>
      </c>
      <c r="M474">
        <f t="shared" ref="M474" si="6">0.5*(N473+N475)*EXP(-M34*0.5)</f>
        <v>2.2384591604920652</v>
      </c>
      <c r="O474">
        <f t="shared" ref="O474" si="7">0.5*(P473+P475)*EXP(-O34*0.5)</f>
        <v>10.527292537900262</v>
      </c>
      <c r="Q474">
        <f t="shared" ref="Q474" si="8">0.5*(R473+R475)*EXP(-Q34*0.5)</f>
        <v>33.269703506148566</v>
      </c>
      <c r="S474">
        <f>0.5*(T473+T475)*EXP(-S34*0.5)</f>
        <v>72.193687480501907</v>
      </c>
    </row>
    <row r="475" spans="5:23" x14ac:dyDescent="0.25">
      <c r="J475">
        <f>0.5*(K474+K476)*EXP(-J35*0.5)</f>
        <v>3.8443343358517414</v>
      </c>
      <c r="L475">
        <f t="shared" ref="L475" si="9">0.5*(M474+M476)*EXP(-L35*0.5)</f>
        <v>4.0067851512555288</v>
      </c>
      <c r="N475">
        <f t="shared" ref="N475" si="10">0.5*(O474+O476)*EXP(-N35*0.5)</f>
        <v>12.192910702063214</v>
      </c>
      <c r="P475">
        <f t="shared" ref="P475" si="11">0.5*(Q474+Q476)*EXP(-P35*0.5)</f>
        <v>36.884421341354646</v>
      </c>
      <c r="R475">
        <f>0.5*(S474+S476)*EXP(-R35*0.5)</f>
        <v>64.589249773503283</v>
      </c>
      <c r="T475">
        <v>100</v>
      </c>
    </row>
    <row r="476" spans="5:23" x14ac:dyDescent="0.25">
      <c r="I476">
        <f>0.5*(J475+J477)*EXP(-I36*0.5)</f>
        <v>8.5659011804557341</v>
      </c>
      <c r="K476">
        <f t="shared" ref="K476" si="12">0.5*(L475+L477)*EXP(-K36*0.5)</f>
        <v>9.8765933360600844</v>
      </c>
      <c r="M476">
        <f t="shared" ref="M476" si="13">0.5*(N475+N477)*EXP(-M36*0.5)</f>
        <v>15.305794842466312</v>
      </c>
      <c r="O476">
        <f t="shared" ref="O476" si="14">0.5*(P475+P477)*EXP(-O36*0.5)</f>
        <v>32.439957775429107</v>
      </c>
      <c r="Q476">
        <f t="shared" ref="Q476" si="15">0.5*(R475+R477)*EXP(-Q36*0.5)</f>
        <v>54.543323441241846</v>
      </c>
      <c r="S476">
        <f>0.5*(T475+T477)*EXP(-S36*0.5)</f>
        <v>83.105868030732694</v>
      </c>
    </row>
    <row r="477" spans="5:23" x14ac:dyDescent="0.25">
      <c r="H477">
        <f>0.5*(I476+I478)*EXP(-H37*0.5)</f>
        <v>14.651228213773107</v>
      </c>
      <c r="J477">
        <f t="shared" ref="J477" si="16">0.5*(K476+K478)*EXP(-J37*0.5)</f>
        <v>16.800819811122903</v>
      </c>
      <c r="L477">
        <f t="shared" ref="L477" si="17">0.5*(M476+M478)*EXP(-L37*0.5)</f>
        <v>20.214586754339894</v>
      </c>
      <c r="N477">
        <f t="shared" ref="N477" si="18">0.5*(O476+O478)*EXP(-N37*0.5)</f>
        <v>35.470916351273232</v>
      </c>
      <c r="P477">
        <f t="shared" ref="P477" si="19">0.5*(Q476+Q478)*EXP(-P37*0.5)</f>
        <v>57.473783636690086</v>
      </c>
      <c r="R477">
        <f>0.5*(S476+S478)*EXP(-R37*0.5)</f>
        <v>78.417210006186366</v>
      </c>
      <c r="T477">
        <v>100</v>
      </c>
    </row>
    <row r="478" spans="5:23" x14ac:dyDescent="0.25">
      <c r="G478">
        <f>0.5*(H477+H479)*EXP(-G38*0.5)</f>
        <v>23.038503272416488</v>
      </c>
      <c r="I478">
        <f t="shared" ref="I478" si="20">0.5*(J477+J479)*EXP(-I38*0.5)</f>
        <v>25.704884828235151</v>
      </c>
      <c r="K478">
        <f t="shared" ref="K478" si="21">0.5*(L477+L479)*EXP(-K38*0.5)</f>
        <v>30.085376892371194</v>
      </c>
      <c r="M478">
        <f t="shared" ref="M478" si="22">0.5*(N477+N479)*EXP(-M38*0.5)</f>
        <v>39.955050875108611</v>
      </c>
      <c r="O478">
        <f t="shared" ref="O478" si="23">0.5*(P477+P479)*EXP(-O38*0.5)</f>
        <v>56.482777450496968</v>
      </c>
      <c r="Q478">
        <f t="shared" ref="Q478" si="24">0.5*(R477+R479)*EXP(-Q38*0.5)</f>
        <v>71.675163904116957</v>
      </c>
      <c r="S478">
        <f>0.5*(T477+T479)*EXP(-S38*0.5)</f>
        <v>90.022930373695175</v>
      </c>
    </row>
    <row r="479" spans="5:23" x14ac:dyDescent="0.25">
      <c r="F479">
        <f>0.5*(G478+G480)*EXP(-F39*0.5)</f>
        <v>32.044255081942062</v>
      </c>
      <c r="H479">
        <f t="shared" ref="H479" si="25">0.5*(I478+I480)*EXP(-H39*0.5)</f>
        <v>34.670909149397339</v>
      </c>
      <c r="J479">
        <f t="shared" ref="J479" si="26">0.5*(K478+K480)*EXP(-J39*0.5)</f>
        <v>39.209059069599654</v>
      </c>
      <c r="L479">
        <f t="shared" ref="L479" si="27">0.5*(M478+M480)*EXP(-L39*0.5)</f>
        <v>45.865606313113545</v>
      </c>
      <c r="N479">
        <f t="shared" ref="N479" si="28">0.5*(O478+O480)*EXP(-N39*0.5)</f>
        <v>59.873760446523619</v>
      </c>
      <c r="P479">
        <f t="shared" ref="P479" si="29">0.5*(Q478+Q480)*EXP(-P39*0.5)</f>
        <v>73.692484151245708</v>
      </c>
      <c r="R479">
        <f>0.5*(S478+S480)*EXP(-R39*0.5)</f>
        <v>87.354362864149991</v>
      </c>
      <c r="T479">
        <v>100</v>
      </c>
    </row>
    <row r="480" spans="5:23" x14ac:dyDescent="0.25">
      <c r="E480">
        <f>0.5*(F479+F481)*EXP(-E40*0.5)</f>
        <v>41.61144543558742</v>
      </c>
      <c r="G480">
        <f t="shared" ref="G480" si="30">0.5*(H479+H481)*EXP(-G40*0.5)</f>
        <v>44.431591142685932</v>
      </c>
      <c r="I480">
        <f t="shared" ref="I480" si="31">0.5*(J479+J481)*EXP(-I40*0.5)</f>
        <v>48.810188360502238</v>
      </c>
      <c r="K480">
        <f t="shared" ref="K480" si="32">0.5*(L479+L481)*EXP(-K40*0.5)</f>
        <v>54.833368671065742</v>
      </c>
      <c r="M480">
        <f t="shared" ref="M480" si="33">0.5*(N479+N481)*EXP(-M40*0.5)</f>
        <v>63.952311632036917</v>
      </c>
      <c r="O480">
        <f t="shared" ref="O480" si="34">0.5*(P479+P481)*EXP(-O40*0.5)</f>
        <v>74.554593702954406</v>
      </c>
      <c r="Q480">
        <f t="shared" ref="Q480" si="35">0.5*(R479+R481)*EXP(-Q40*0.5)</f>
        <v>83.298182348989982</v>
      </c>
      <c r="S480">
        <f>0.5*(T479+T481)*EXP(-S40*0.5)</f>
        <v>94.204992455725531</v>
      </c>
    </row>
    <row r="481" spans="1:20" x14ac:dyDescent="0.25">
      <c r="D481">
        <f>0.5*(E480+E482)*EXP(-D41*0.5)</f>
        <v>50.598318736337006</v>
      </c>
      <c r="F481">
        <f t="shared" ref="F481" si="36">0.5*(G480+G482)*EXP(-F41*0.5)</f>
        <v>53.437190640505648</v>
      </c>
      <c r="H481">
        <f t="shared" ref="H481" si="37">0.5*(I480+I482)*EXP(-H41*0.5)</f>
        <v>57.224920129211597</v>
      </c>
      <c r="J481">
        <f t="shared" ref="J481" si="38">0.5*(K480+K482)*EXP(-J41*0.5)</f>
        <v>62.3314123665496</v>
      </c>
      <c r="L481">
        <f t="shared" ref="L481" si="39">0.5*(M480+M482)*EXP(-L41*0.5)</f>
        <v>68.624065103938761</v>
      </c>
      <c r="N481">
        <f t="shared" ref="N481" si="40">0.5*(O480+O482)*EXP(-N41*0.5)</f>
        <v>77.364068493766837</v>
      </c>
      <c r="P481">
        <f t="shared" ref="P481" si="41">0.5*(Q480+Q482)*EXP(-P41*0.5)</f>
        <v>84.57016210179998</v>
      </c>
      <c r="R481">
        <f>0.5*(S480+S482)*EXP(-R41*0.5)</f>
        <v>92.7563474775408</v>
      </c>
      <c r="T481">
        <v>100</v>
      </c>
    </row>
    <row r="482" spans="1:20" x14ac:dyDescent="0.25">
      <c r="C482">
        <f>0.5*(D481+D483)*EXP(-C42*0.5)</f>
        <v>58.972912484647892</v>
      </c>
      <c r="E482">
        <f t="shared" ref="E482" si="42">0.5*(F481+F483)*EXP(-E42*0.5)</f>
        <v>61.849039203398625</v>
      </c>
      <c r="G482">
        <f t="shared" ref="G482" si="43">0.5*(H481+H483)*EXP(-G42*0.5)</f>
        <v>65.18704803536599</v>
      </c>
      <c r="I482">
        <f t="shared" ref="I482" si="44">0.5*(J481+J483)*EXP(-I42*0.5)</f>
        <v>69.486113810606042</v>
      </c>
      <c r="K482">
        <f t="shared" ref="K482" si="45">0.5*(L481+L483)*EXP(-K42*0.5)</f>
        <v>74.47497969229174</v>
      </c>
      <c r="M482">
        <f t="shared" ref="M482" si="46">0.5*(N481+N483)*EXP(-M42*0.5)</f>
        <v>80.29055603884062</v>
      </c>
      <c r="O482">
        <f t="shared" ref="O482" si="47">0.5*(P481+P483)*EXP(-O42*0.5)</f>
        <v>85.83444319136531</v>
      </c>
      <c r="Q482">
        <f t="shared" ref="Q482" si="48">0.5*(R481+R483)*EXP(-Q42*0.5)</f>
        <v>90.461892368592657</v>
      </c>
      <c r="S482">
        <f>0.5*(T481+T483)*EXP(-S42*0.5)</f>
        <v>96.666221416556382</v>
      </c>
    </row>
    <row r="483" spans="1:20" x14ac:dyDescent="0.25">
      <c r="B483">
        <f>0.5*(C482+C484)*EXP(-B43*0.5)</f>
        <v>66.4472066940139</v>
      </c>
      <c r="D483">
        <f t="shared" ref="D483" si="49">0.5*(E482+E484)*EXP(-D43*0.5)</f>
        <v>68.958823230869172</v>
      </c>
      <c r="F483">
        <f t="shared" ref="F483" si="50">0.5*(G482+G484)*EXP(-F43*0.5)</f>
        <v>71.904884197857513</v>
      </c>
      <c r="H483">
        <f t="shared" ref="H483" si="51">0.5*(I482+I484)*EXP(-H43*0.5)</f>
        <v>75.324325996888604</v>
      </c>
      <c r="J483">
        <f t="shared" ref="J483" si="52">0.5*(K482+K484)*EXP(-J43*0.5)</f>
        <v>79.177338471140473</v>
      </c>
      <c r="L483">
        <f t="shared" ref="L483" si="53">0.5*(M482+M484)*EXP(-L43*0.5)</f>
        <v>83.300272784717251</v>
      </c>
      <c r="N483">
        <f t="shared" ref="N483" si="54">0.5*(O482+O484)*EXP(-N43*0.5)</f>
        <v>87.791599073152284</v>
      </c>
      <c r="P483">
        <f t="shared" ref="P483" si="55">0.5*(Q482+Q484)*EXP(-P43*0.5)</f>
        <v>91.226537037964178</v>
      </c>
      <c r="R483">
        <f>0.5*(S482+S484)*EXP(-R43*0.5)</f>
        <v>95.902424250613961</v>
      </c>
      <c r="T483">
        <v>100</v>
      </c>
    </row>
    <row r="484" spans="1:20" x14ac:dyDescent="0.25">
      <c r="A484">
        <f>0.5*(B483+B485)*EXP(-A44*0.5)</f>
        <v>73.088438651602587</v>
      </c>
      <c r="C484">
        <f t="shared" ref="C484" si="56">0.5*(D483+D485)*EXP(-C44*0.5)</f>
        <v>75.085734106250342</v>
      </c>
      <c r="E484">
        <f t="shared" ref="E484" si="57">0.5*(F483+F485)*EXP(-E44*0.5)</f>
        <v>77.716115937508093</v>
      </c>
      <c r="G484">
        <f t="shared" ref="G484" si="58">0.5*(H483+H485)*EXP(-G44*0.5)</f>
        <v>80.43175838045849</v>
      </c>
      <c r="I484">
        <f t="shared" ref="I484" si="59">0.5*(J483+J485)*EXP(-I44*0.5)</f>
        <v>83.467764111101374</v>
      </c>
      <c r="K484">
        <f t="shared" ref="K484" si="60">0.5*(L483+L485)*EXP(-K44*0.5)</f>
        <v>86.563884227112638</v>
      </c>
      <c r="M484">
        <f t="shared" ref="M484" si="61">0.5*(N483+N485)*EXP(-M44*0.5)</f>
        <v>89.64574217375791</v>
      </c>
      <c r="O484">
        <f t="shared" ref="O484" si="62">0.5*(P483+P485)*EXP(-O44*0.5)</f>
        <v>92.283115265555878</v>
      </c>
      <c r="Q484">
        <f t="shared" ref="Q484" si="63">0.5*(R483+R485)*EXP(-Q44*0.5)</f>
        <v>94.649218521632719</v>
      </c>
      <c r="S484">
        <f>0.5*(T483+T485)*EXP(-S44*0.5)</f>
        <v>98.092653712291565</v>
      </c>
    </row>
    <row r="485" spans="1:20" x14ac:dyDescent="0.25">
      <c r="B485">
        <f>0.5*(C484+C486)*EXP(-B45*0.5)</f>
        <v>80.212851113637967</v>
      </c>
      <c r="D485">
        <f t="shared" ref="D485" si="64">0.5*(E484+E486)*EXP(-D45*0.5)</f>
        <v>82.310328468729807</v>
      </c>
      <c r="F485">
        <f t="shared" ref="F485" si="65">0.5*(G484+G486)*EXP(-F45*0.5)</f>
        <v>84.542498848437461</v>
      </c>
      <c r="H485">
        <f t="shared" ref="H485" si="66">0.5*(I484+I486)*EXP(-H45*0.5)</f>
        <v>86.856954828672983</v>
      </c>
      <c r="J485">
        <f t="shared" ref="J485" si="67">0.5*(K484+K486)*EXP(-J45*0.5)</f>
        <v>89.151122848134293</v>
      </c>
      <c r="L485">
        <f t="shared" ref="L485" si="68">0.5*(M484+M486)*EXP(-L45*0.5)</f>
        <v>91.407266418696338</v>
      </c>
      <c r="N485">
        <f t="shared" ref="N485" si="69">0.5*(O484+O486)*EXP(-N45*0.5)</f>
        <v>93.519715285058453</v>
      </c>
      <c r="P485">
        <f t="shared" ref="P485" si="70">0.5*(Q484+Q486)*EXP(-P45*0.5)</f>
        <v>95.097007056352226</v>
      </c>
      <c r="R485">
        <f>0.5*(S484+S486)*EXP(-R45*0.5)</f>
        <v>97.697673039858188</v>
      </c>
      <c r="T485">
        <v>100</v>
      </c>
    </row>
    <row r="486" spans="1:20" x14ac:dyDescent="0.25">
      <c r="C486">
        <f t="shared" ref="C486" si="71">0.5*(D485+D487)*EXP(-C46*0.5)</f>
        <v>86.092781000668268</v>
      </c>
      <c r="E486">
        <f t="shared" ref="E486" si="72">0.5*(F485+F487)*EXP(-E46*0.5)</f>
        <v>87.957119767131104</v>
      </c>
      <c r="G486">
        <f t="shared" ref="G486" si="73">0.5*(H485+H487)*EXP(-G46*0.5)</f>
        <v>89.698666568525155</v>
      </c>
      <c r="I486">
        <f t="shared" ref="I486" si="74">0.5*(J485+J487)*EXP(-I46*0.5)</f>
        <v>91.462317113820561</v>
      </c>
      <c r="K486">
        <f t="shared" ref="K486" si="75">0.5*(L485+L487)*EXP(-K46*0.5)</f>
        <v>93.120525893344322</v>
      </c>
      <c r="M486">
        <f t="shared" ref="M486" si="76">0.5*(N485+N487)*EXP(-M46*0.5)</f>
        <v>94.619943951149892</v>
      </c>
      <c r="O486">
        <f t="shared" ref="O486" si="77">0.5*(P485+P487)*EXP(-O46*0.5)</f>
        <v>95.828388225440264</v>
      </c>
      <c r="Q486">
        <f t="shared" ref="Q486" si="78">0.5*(R485+R487)*EXP(-Q46*0.5)</f>
        <v>97.026998159768794</v>
      </c>
      <c r="S486">
        <f>0.5*(T485+T487)*EXP(-S46*0.5)</f>
        <v>98.912178440777382</v>
      </c>
    </row>
    <row r="487" spans="1:20" x14ac:dyDescent="0.25">
      <c r="D487">
        <f t="shared" ref="D487" si="79">0.5*(E486+E488)*EXP(-D47*0.5)</f>
        <v>90.549624544998863</v>
      </c>
      <c r="F487">
        <f t="shared" ref="F487" si="80">0.5*(G486+G488)*EXP(-F47*0.5)</f>
        <v>91.937303580806613</v>
      </c>
      <c r="H487">
        <f t="shared" ref="H487" si="81">0.5*(I486+I488)*EXP(-H47*0.5)</f>
        <v>93.263488415767981</v>
      </c>
      <c r="J487">
        <f t="shared" ref="J487" si="82">0.5*(K486+K488)*EXP(-J47*0.5)</f>
        <v>94.473153316315759</v>
      </c>
      <c r="L487">
        <f t="shared" ref="L487" si="83">0.5*(M486+M488)*EXP(-L47*0.5)</f>
        <v>95.612598698319715</v>
      </c>
      <c r="N487">
        <f t="shared" ref="N487" si="84">0.5*(O486+O488)*EXP(-N47*0.5)</f>
        <v>96.567562173151742</v>
      </c>
      <c r="P487">
        <f t="shared" ref="P487" si="85">0.5*(Q486+Q488)*EXP(-P47*0.5)</f>
        <v>97.285477185893043</v>
      </c>
      <c r="R487">
        <f>0.5*(S486+S488)*EXP(-R47*0.5)</f>
        <v>98.710851465651629</v>
      </c>
      <c r="T487">
        <v>100</v>
      </c>
    </row>
    <row r="488" spans="1:20" x14ac:dyDescent="0.25">
      <c r="E488">
        <f t="shared" ref="E488" si="86">0.5*(F487+F489)*EXP(-E48*0.5)</f>
        <v>93.762718250527357</v>
      </c>
      <c r="G488">
        <f t="shared" ref="G488" si="87">0.5*(H487+H489)*EXP(-G48*0.5)</f>
        <v>94.735619748756804</v>
      </c>
      <c r="I488">
        <f t="shared" ref="I488" si="88">0.5*(J487+J489)*EXP(-I48*0.5)</f>
        <v>95.663457528289044</v>
      </c>
      <c r="K488">
        <f t="shared" ref="K488" si="89">0.5*(L487+L489)*EXP(-K48*0.5)</f>
        <v>96.497259316105399</v>
      </c>
      <c r="M488">
        <f t="shared" ref="M488" si="90">0.5*(N487+N489)*EXP(-M48*0.5)</f>
        <v>97.209193337835544</v>
      </c>
      <c r="O488">
        <f t="shared" ref="O488" si="91">0.5*(P487+P489)*EXP(-O48*0.5)</f>
        <v>97.74747917744034</v>
      </c>
      <c r="Q488">
        <f t="shared" ref="Q488" si="92">0.5*(R487+R489)*EXP(-Q48*0.5)</f>
        <v>98.356348120493536</v>
      </c>
      <c r="S488">
        <f>0.5*(T487+T489)*EXP(-S48*0.5)</f>
        <v>99.380689657715919</v>
      </c>
    </row>
    <row r="489" spans="1:20" x14ac:dyDescent="0.25">
      <c r="F489">
        <f t="shared" ref="F489" si="93">0.5*(G488+G490)*EXP(-F49*0.5)</f>
        <v>95.8851586579799</v>
      </c>
      <c r="H489">
        <f t="shared" ref="H489" si="94">0.5*(I488+I490)*EXP(-H49*0.5)</f>
        <v>96.583931378039054</v>
      </c>
      <c r="J489">
        <f t="shared" ref="J489" si="95">0.5*(K488+K490)*EXP(-J49*0.5)</f>
        <v>97.189599833081644</v>
      </c>
      <c r="L489">
        <f t="shared" ref="L489" si="96">0.5*(M488+M490)*EXP(-L49*0.5)</f>
        <v>97.7522687151273</v>
      </c>
      <c r="N489">
        <f t="shared" ref="N489" si="97">0.5*(O488+O490)*EXP(-N49*0.5)</f>
        <v>98.197564400747567</v>
      </c>
      <c r="P489">
        <f t="shared" ref="P489" si="98">0.5*(Q488+Q490)*EXP(-P49*0.5)</f>
        <v>98.504370191739554</v>
      </c>
      <c r="R489">
        <f>0.5*(S488+S490)*EXP(-R49*0.5)</f>
        <v>99.279335383244259</v>
      </c>
      <c r="T489">
        <v>100</v>
      </c>
    </row>
    <row r="490" spans="1:20" x14ac:dyDescent="0.25">
      <c r="G490">
        <f t="shared" ref="G490" si="99">0.5*(H489+H491)*EXP(-G50*0.5)</f>
        <v>97.322286218492238</v>
      </c>
      <c r="I490">
        <f t="shared" ref="I490" si="100">0.5*(J489+J491)*EXP(-I50*0.5)</f>
        <v>97.789044621989504</v>
      </c>
      <c r="K490">
        <f t="shared" ref="K490" si="101">0.5*(L489+L491)*EXP(-K50*0.5)</f>
        <v>98.198988408832491</v>
      </c>
      <c r="M490">
        <f t="shared" ref="M490" si="102">0.5*(N489+N491)*EXP(-M50*0.5)</f>
        <v>98.541365427811442</v>
      </c>
      <c r="O490">
        <f t="shared" ref="O490" si="103">0.5*(P489+P491)*EXP(-O50*0.5)</f>
        <v>98.826272449425531</v>
      </c>
      <c r="Q490">
        <f t="shared" ref="Q490" si="104">0.5*(R489+R491)*EXP(-Q50*0.5)</f>
        <v>99.09346708380501</v>
      </c>
      <c r="S490">
        <f>0.5*(T489+T491)*EXP(-S50*0.5)</f>
        <v>99.647777834087023</v>
      </c>
    </row>
    <row r="491" spans="1:20" x14ac:dyDescent="0.25">
      <c r="H491">
        <f t="shared" ref="H491" si="105">0.5*(I490+I492)*EXP(-H51*0.5)</f>
        <v>98.251092378988034</v>
      </c>
      <c r="J491">
        <f t="shared" ref="J491" si="106">0.5*(K490+K492)*EXP(-J51*0.5)</f>
        <v>98.5461295280939</v>
      </c>
      <c r="L491">
        <f t="shared" ref="L491" si="107">0.5*(M490+M492)*EXP(-L51*0.5)</f>
        <v>98.818759835433426</v>
      </c>
      <c r="N491">
        <f t="shared" ref="N491" si="108">0.5*(O490+O492)*EXP(-N51*0.5)</f>
        <v>99.025274155397128</v>
      </c>
      <c r="P491">
        <f t="shared" ref="P491" si="109">0.5*(Q490+Q492)*EXP(-P51*0.5)</f>
        <v>99.156244973918334</v>
      </c>
      <c r="R491">
        <f>0.5*(S490+S492)*EXP(-R51*0.5)</f>
        <v>99.597374261415709</v>
      </c>
      <c r="T491">
        <v>100</v>
      </c>
    </row>
    <row r="492" spans="1:20" x14ac:dyDescent="0.25">
      <c r="I492">
        <f t="shared" ref="I492" si="110">0.5*(J491+J493)*EXP(-I52*0.5)</f>
        <v>98.84610980983922</v>
      </c>
      <c r="K492">
        <f t="shared" ref="K492" si="111">0.5*(L491+L493)*EXP(-K52*0.5)</f>
        <v>99.04089285447931</v>
      </c>
      <c r="M492">
        <f t="shared" ref="M492" si="112">0.5*(N491+N493)*EXP(-M52*0.5)</f>
        <v>99.195305963447822</v>
      </c>
      <c r="O492">
        <f t="shared" ref="O492" si="113">0.5*(P491+P493)*EXP(-O52*0.5)</f>
        <v>99.296095510101878</v>
      </c>
      <c r="Q492">
        <f t="shared" ref="Q492" si="114">0.5*(R491+R493)*EXP(-Q52*0.5)</f>
        <v>99.457205648665621</v>
      </c>
      <c r="S492">
        <f>0.5*(T491+T493)*EXP(-S52*0.5)</f>
        <v>99.799795624279739</v>
      </c>
    </row>
    <row r="493" spans="1:20" x14ac:dyDescent="0.25">
      <c r="J493">
        <f t="shared" ref="J493" si="115">0.5*(K492+K494)*EXP(-J53*0.5)</f>
        <v>99.219278132022126</v>
      </c>
      <c r="L493">
        <f t="shared" ref="L493" si="116">0.5*(M492+M494)*EXP(-L53*0.5)</f>
        <v>99.343189652774839</v>
      </c>
      <c r="N493">
        <f t="shared" ref="N493" si="117">0.5*(O492+O494)*EXP(-N53*0.5)</f>
        <v>99.421574673190293</v>
      </c>
      <c r="P493">
        <f t="shared" ref="P493" si="118">0.5*(Q492+Q494)*EXP(-P53*0.5)</f>
        <v>99.483563698953716</v>
      </c>
      <c r="R493">
        <f>0.5*(S492+S494)*EXP(-R53*0.5)</f>
        <v>99.688322922645284</v>
      </c>
      <c r="T493">
        <v>100</v>
      </c>
    </row>
    <row r="494" spans="1:20" x14ac:dyDescent="0.25">
      <c r="K494">
        <f t="shared" ref="K494" si="119">0.5*(L493+L495)*EXP(-K54*0.5)</f>
        <v>99.465931610198311</v>
      </c>
      <c r="M494">
        <f t="shared" ref="M494" si="120">0.5*(N493+N495)*EXP(-M54*0.5)</f>
        <v>99.530821096798334</v>
      </c>
      <c r="O494">
        <f t="shared" ref="O494" si="121">0.5*(P493+P495)*EXP(-O54*0.5)</f>
        <v>99.575808626381274</v>
      </c>
      <c r="Q494">
        <f t="shared" ref="Q494" si="122">0.5*(R493+R495)*EXP(-Q54*0.5)</f>
        <v>99.638148733112175</v>
      </c>
      <c r="S494">
        <f>0.5*(T493+T495)*EXP(-S54*0.5)</f>
        <v>99.712633841352485</v>
      </c>
    </row>
    <row r="495" spans="1:20" x14ac:dyDescent="0.25">
      <c r="L495">
        <f t="shared" ref="L495" si="123">0.5*(M494+M496)*EXP(-L55*0.5)</f>
        <v>99.62565541388939</v>
      </c>
      <c r="N495">
        <f t="shared" ref="N495" si="124">0.5*(O494+O496)*EXP(-N55*0.5)</f>
        <v>99.662570004573084</v>
      </c>
      <c r="P495">
        <f t="shared" ref="P495" si="125">0.5*(Q494+Q496)*EXP(-P55*0.5)</f>
        <v>99.687096642123123</v>
      </c>
      <c r="R495">
        <f>0.5*(S494+S496)*EXP(-R55*0.5)</f>
        <v>99.787532628465712</v>
      </c>
      <c r="T495">
        <v>100</v>
      </c>
    </row>
    <row r="496" spans="1:20" x14ac:dyDescent="0.25">
      <c r="M496">
        <f t="shared" ref="M496" si="126">0.5*(N495+N497)*EXP(-M56*0.5)</f>
        <v>99.736386128122106</v>
      </c>
      <c r="O496">
        <f t="shared" ref="O496" si="127">0.5*(P495+P497)*EXP(-O56*0.5)</f>
        <v>99.760826739248515</v>
      </c>
      <c r="Q496">
        <f t="shared" ref="Q496" si="128">0.5*(R495+R497)*EXP(-Q56*0.5)</f>
        <v>99.80499876141387</v>
      </c>
      <c r="S496">
        <f>0.5*(T495+T497)*EXP(-S56*0.5)</f>
        <v>99.935372057995963</v>
      </c>
    </row>
    <row r="497" spans="14:24" x14ac:dyDescent="0.25">
      <c r="N497">
        <f t="shared" ref="N497" si="129">0.5*(O496+O498)*EXP(-N57*0.5)</f>
        <v>99.819194977723342</v>
      </c>
      <c r="P497">
        <f t="shared" ref="P497" si="130">0.5*(Q496+Q498)*EXP(-P57*0.5)</f>
        <v>99.842165530468549</v>
      </c>
      <c r="R497">
        <f>0.5*(S496+S498)*EXP(-R57*0.5)</f>
        <v>99.929728995869652</v>
      </c>
      <c r="T497">
        <v>100</v>
      </c>
    </row>
    <row r="498" spans="14:24" x14ac:dyDescent="0.25">
      <c r="O498">
        <f t="shared" ref="O498" si="131">0.5*(P497+P499)*EXP(-O58*0.5)</f>
        <v>99.882154948601297</v>
      </c>
      <c r="Q498">
        <f t="shared" ref="Q498" si="132">0.5*(R497+R499)*EXP(-Q58*0.5)</f>
        <v>99.916396924512441</v>
      </c>
      <c r="S498">
        <f>0.5*(T497+T499)*EXP(-S58*0.5)</f>
        <v>99.96328808925395</v>
      </c>
    </row>
    <row r="499" spans="14:24" x14ac:dyDescent="0.25">
      <c r="P499">
        <f t="shared" ref="P499" si="133">0.5*(Q498+Q500)*EXP(-P59*0.5)</f>
        <v>99.925182536492642</v>
      </c>
      <c r="R499">
        <f>0.5*(S498+S500)*EXP(-R59*0.5)</f>
        <v>99.960694233931264</v>
      </c>
      <c r="T499">
        <v>100</v>
      </c>
    </row>
    <row r="500" spans="14:24" x14ac:dyDescent="0.25">
      <c r="Q500">
        <f t="shared" ref="Q500" si="134">0.5*(R499+R501)*EXP(-Q60*0.5)</f>
        <v>99.953877653432414</v>
      </c>
      <c r="S500">
        <f>0.5*(T499+T501)*EXP(-S60*0.5)</f>
        <v>99.979147052389067</v>
      </c>
    </row>
    <row r="501" spans="14:24" x14ac:dyDescent="0.25">
      <c r="R501">
        <f>0.5*(S500+S502)*EXP(-R61*0.5)</f>
        <v>99.978002258993385</v>
      </c>
      <c r="T501">
        <v>100</v>
      </c>
    </row>
    <row r="502" spans="14:24" x14ac:dyDescent="0.25">
      <c r="S502">
        <f>0.5*(T501+T503)*EXP(-S62*0.5)</f>
        <v>99.988155600852096</v>
      </c>
    </row>
    <row r="503" spans="14:24" x14ac:dyDescent="0.25">
      <c r="T503">
        <v>100</v>
      </c>
    </row>
    <row r="508" spans="14:24" x14ac:dyDescent="0.25">
      <c r="U508">
        <v>100</v>
      </c>
      <c r="W508">
        <f>0.5*LN(T25/T27)/SQRT(0.5)</f>
        <v>0.4000001351195453</v>
      </c>
      <c r="X508">
        <f>(C21-W508)^2*100000</f>
        <v>1.825729151526512E-9</v>
      </c>
    </row>
    <row r="509" spans="14:24" x14ac:dyDescent="0.25">
      <c r="T509">
        <f>0.5*(U508+U510)*EXP(-T25*0.5)</f>
        <v>1.3024555132275173</v>
      </c>
      <c r="X509">
        <f>(D21-A528)^2*10000</f>
        <v>7.5467577324207775E-10</v>
      </c>
    </row>
    <row r="510" spans="14:24" x14ac:dyDescent="0.25">
      <c r="S510">
        <f>0.5*(T509+T511)*EXP(-S26*0.5)</f>
        <v>0.21400006731765428</v>
      </c>
      <c r="U510">
        <v>100</v>
      </c>
      <c r="X510">
        <f>X508+X509</f>
        <v>2.5804049247685898E-9</v>
      </c>
    </row>
    <row r="511" spans="14:24" x14ac:dyDescent="0.25">
      <c r="R511">
        <f>0.5*(S510+S512)*EXP(-R27*0.5)</f>
        <v>0.16382538586337916</v>
      </c>
      <c r="T511">
        <f t="shared" ref="T511" si="135">0.5*(U510+U512)*EXP(-T27*0.5)</f>
        <v>8.4965133811526155</v>
      </c>
    </row>
    <row r="512" spans="14:24" x14ac:dyDescent="0.25">
      <c r="Q512">
        <f>0.5*(R511+R513)*EXP(-Q28*0.5)</f>
        <v>4.8268914807127999E-2</v>
      </c>
      <c r="S512">
        <f t="shared" ref="S512" si="136">0.5*(T511+T513)*EXP(-S28*0.5)</f>
        <v>2.7998486351557434</v>
      </c>
      <c r="U512">
        <v>100</v>
      </c>
    </row>
    <row r="513" spans="1:21" x14ac:dyDescent="0.25">
      <c r="P513">
        <f>0.5*(Q512+Q514)*EXP(-P29*0.5)</f>
        <v>0.20181551681499235</v>
      </c>
      <c r="R513">
        <f t="shared" ref="R513" si="137">0.5*(S512+S514)*EXP(-R29*0.5)</f>
        <v>2.3568017567845008</v>
      </c>
      <c r="T513">
        <f t="shared" ref="T513" si="138">0.5*(U512+U514)*EXP(-T29*0.5)</f>
        <v>24.651322317908321</v>
      </c>
    </row>
    <row r="514" spans="1:21" x14ac:dyDescent="0.25">
      <c r="O514">
        <f>0.5*(P513+P515)*EXP(-O30*0.5)</f>
        <v>3.6576036583025402E-3</v>
      </c>
      <c r="Q514">
        <f t="shared" ref="Q514" si="139">0.5*(R513+R515)*EXP(-Q30*0.5)</f>
        <v>1.1975930817838429</v>
      </c>
      <c r="S514">
        <f t="shared" ref="S514" si="140">0.5*(T513+T515)*EXP(-S30*0.5)</f>
        <v>12.710037911009668</v>
      </c>
      <c r="U514">
        <v>100</v>
      </c>
    </row>
    <row r="515" spans="1:21" x14ac:dyDescent="0.25">
      <c r="N515">
        <f>0.5*(O514+O516)*EXP(-N31*0.5)</f>
        <v>9.4111469805499368E-3</v>
      </c>
      <c r="P515">
        <f t="shared" ref="P515" si="141">0.5*(Q514+Q516)*EXP(-P31*0.5)</f>
        <v>2.4806013343361637</v>
      </c>
      <c r="R515">
        <f t="shared" ref="R515" si="142">0.5*(S514+S516)*EXP(-R31*0.5)</f>
        <v>11.440367464658914</v>
      </c>
      <c r="T515">
        <f t="shared" ref="T515" si="143">0.5*(U514+U516)*EXP(-T31*0.5)</f>
        <v>45.142241814963967</v>
      </c>
    </row>
    <row r="516" spans="1:21" x14ac:dyDescent="0.25">
      <c r="M516">
        <f>0.5*(N515+N517)*EXP(-M32*0.5)</f>
        <v>3.1977749104624559E-2</v>
      </c>
      <c r="O516">
        <f t="shared" ref="O516" si="144">0.5*(P515+P517)*EXP(-O32*0.5)</f>
        <v>0.65896407138036039</v>
      </c>
      <c r="Q516">
        <f t="shared" ref="Q516" si="145">0.5*(R515+R517)*EXP(-Q32*0.5)</f>
        <v>7.8870964661840564</v>
      </c>
      <c r="S516">
        <f t="shared" ref="S516" si="146">0.5*(T515+T517)*EXP(-S32*0.5)</f>
        <v>30.650869420102364</v>
      </c>
      <c r="U516">
        <v>100</v>
      </c>
    </row>
    <row r="517" spans="1:21" x14ac:dyDescent="0.25">
      <c r="L517">
        <f>0.5*(M516+M518)*EXP(-L33*0.5)</f>
        <v>0.12747650443821126</v>
      </c>
      <c r="N517">
        <f t="shared" ref="N517" si="147">0.5*(O516+O518)*EXP(-N33*0.5)</f>
        <v>1.0254439172775109</v>
      </c>
      <c r="P517">
        <f t="shared" ref="P517" si="148">0.5*(Q516+Q518)*EXP(-P33*0.5)</f>
        <v>11.405829972630528</v>
      </c>
      <c r="R517">
        <f t="shared" ref="R517" si="149">0.5*(S516+S518)*EXP(-R33*0.5)</f>
        <v>28.934110927946236</v>
      </c>
      <c r="T517">
        <f t="shared" ref="T517" si="150">0.5*(U516+U518)*EXP(-T33*0.5)</f>
        <v>63.652192544216454</v>
      </c>
    </row>
    <row r="518" spans="1:21" x14ac:dyDescent="0.25">
      <c r="K518">
        <f>0.5*(L517+L519)*EXP(-K34*0.5)</f>
        <v>1.1247844315823272</v>
      </c>
      <c r="M518">
        <f t="shared" ref="M518" si="151">0.5*(N517+N519)*EXP(-M34*0.5)</f>
        <v>1.7866556709532466</v>
      </c>
      <c r="O518">
        <f t="shared" ref="O518" si="152">0.5*(P517+P519)*EXP(-O34*0.5)</f>
        <v>7.8281113620545728</v>
      </c>
      <c r="Q518">
        <f t="shared" ref="Q518" si="153">0.5*(R517+R519)*EXP(-Q34*0.5)</f>
        <v>23.675239971019337</v>
      </c>
      <c r="S518">
        <f t="shared" ref="S518" si="154">0.5*(T517+T519)*EXP(-S34*0.5)</f>
        <v>50.904506674354096</v>
      </c>
      <c r="U518">
        <v>100</v>
      </c>
    </row>
    <row r="519" spans="1:21" x14ac:dyDescent="0.25">
      <c r="J519">
        <f>0.5*(K518+K520)*EXP(-J35*0.5)</f>
        <v>3.3521571387541704</v>
      </c>
      <c r="L519">
        <f t="shared" ref="L519" si="155">0.5*(M518+M520)*EXP(-L35*0.5)</f>
        <v>3.3790145712484718</v>
      </c>
      <c r="N519">
        <f t="shared" ref="N519" si="156">0.5*(O518+O520)*EXP(-N35*0.5)</f>
        <v>9.8200135169294001</v>
      </c>
      <c r="P519">
        <f t="shared" ref="P519" si="157">0.5*(Q518+Q520)*EXP(-P35*0.5)</f>
        <v>28.64040982551608</v>
      </c>
      <c r="R519">
        <f t="shared" ref="R519" si="158">0.5*(S518+S520)*EXP(-R35*0.5)</f>
        <v>49.480614509259595</v>
      </c>
      <c r="T519">
        <f t="shared" ref="T519" si="159">0.5*(U518+U520)*EXP(-T35*0.5)</f>
        <v>77.369850935976743</v>
      </c>
    </row>
    <row r="520" spans="1:21" x14ac:dyDescent="0.25">
      <c r="I520">
        <f>0.5*(J519+J521)*EXP(-I36*0.5)</f>
        <v>7.6597227174405962</v>
      </c>
      <c r="K520">
        <f t="shared" ref="K520" si="160">0.5*(L519+L521)*EXP(-K36*0.5)</f>
        <v>8.652799379674148</v>
      </c>
      <c r="M520">
        <f t="shared" ref="M520" si="161">0.5*(N519+N521)*EXP(-M36*0.5)</f>
        <v>13.008819424362146</v>
      </c>
      <c r="O520">
        <f t="shared" ref="O520" si="162">0.5*(P519+P521)*EXP(-O36*0.5)</f>
        <v>26.777159616497364</v>
      </c>
      <c r="Q520">
        <f t="shared" ref="Q520" si="163">0.5*(R519+R521)*EXP(-Q36*0.5)</f>
        <v>44.510758028427141</v>
      </c>
      <c r="S520">
        <f t="shared" ref="S520" si="164">0.5*(T519+T521)*EXP(-S36*0.5)</f>
        <v>68.067574076816513</v>
      </c>
      <c r="U520">
        <v>100</v>
      </c>
    </row>
    <row r="521" spans="1:21" x14ac:dyDescent="0.25">
      <c r="H521">
        <f>0.5*(I520+I522)*EXP(-H37*0.5)</f>
        <v>13.354459428131353</v>
      </c>
      <c r="J521">
        <f t="shared" ref="J521" si="165">0.5*(K520+K522)*EXP(-J37*0.5)</f>
        <v>15.108965969396287</v>
      </c>
      <c r="L521">
        <f t="shared" ref="L521" si="166">0.5*(M520+M522)*EXP(-L37*0.5)</f>
        <v>17.841123250402333</v>
      </c>
      <c r="N521">
        <f t="shared" ref="N521" si="167">0.5*(O520+O522)*EXP(-N37*0.5)</f>
        <v>30.690794683016964</v>
      </c>
      <c r="P521">
        <f t="shared" ref="P521" si="168">0.5*(Q520+Q522)*EXP(-P37*0.5)</f>
        <v>49.246396726896528</v>
      </c>
      <c r="R521">
        <f t="shared" ref="R521" si="169">0.5*(S520+S522)*EXP(-R37*0.5)</f>
        <v>67.221587083075889</v>
      </c>
      <c r="T521">
        <f t="shared" ref="T521" si="170">0.5*(U520+U522)*EXP(-T37*0.5)</f>
        <v>86.439458056849162</v>
      </c>
    </row>
    <row r="522" spans="1:21" x14ac:dyDescent="0.25">
      <c r="G522">
        <f>0.5*(H521+H523)*EXP(-G38*0.5)</f>
        <v>21.324084096280355</v>
      </c>
      <c r="I522">
        <f t="shared" ref="I522" si="171">0.5*(J521+J523)*EXP(-I38*0.5)</f>
        <v>23.577782742545111</v>
      </c>
      <c r="K522">
        <f t="shared" ref="K522" si="172">0.5*(L521+L523)*EXP(-K38*0.5)</f>
        <v>27.284973600407653</v>
      </c>
      <c r="M522">
        <f t="shared" ref="M522" si="173">0.5*(N521+N523)*EXP(-M38*0.5)</f>
        <v>35.763662118306776</v>
      </c>
      <c r="O522">
        <f t="shared" ref="O522" si="174">0.5*(P521+P523)*EXP(-O38*0.5)</f>
        <v>50.162194936524095</v>
      </c>
      <c r="Q522">
        <f t="shared" ref="Q522" si="175">0.5*(R521+R523)*EXP(-Q38*0.5)</f>
        <v>63.639520390171093</v>
      </c>
      <c r="S522">
        <f t="shared" ref="S522" si="176">0.5*(T521+T523)*EXP(-S38*0.5)</f>
        <v>80.343630524997465</v>
      </c>
      <c r="U522">
        <v>100</v>
      </c>
    </row>
    <row r="523" spans="1:21" x14ac:dyDescent="0.25">
      <c r="F523">
        <f>0.5*(G522+G524)*EXP(-F39*0.5)</f>
        <v>30.032466261899515</v>
      </c>
      <c r="H523">
        <f t="shared" ref="H523" si="177">0.5*(I522+I524)*EXP(-H39*0.5)</f>
        <v>32.297351911530427</v>
      </c>
      <c r="J523">
        <f t="shared" ref="J523" si="178">0.5*(K522+K524)*EXP(-J39*0.5)</f>
        <v>36.266045609545351</v>
      </c>
      <c r="L523">
        <f t="shared" ref="L523" si="179">0.5*(M522+M524)*EXP(-L39*0.5)</f>
        <v>42.088201544345274</v>
      </c>
      <c r="N523">
        <f t="shared" ref="N523" si="180">0.5*(O522+O524)*EXP(-N39*0.5)</f>
        <v>54.651977534546894</v>
      </c>
      <c r="P523">
        <f t="shared" ref="P523" si="181">0.5*(Q522+Q524)*EXP(-P39*0.5)</f>
        <v>67.241994794594873</v>
      </c>
      <c r="R523">
        <f t="shared" ref="R523" si="182">0.5*(S522+S524)*EXP(-R39*0.5)</f>
        <v>79.965008903020532</v>
      </c>
      <c r="T523">
        <f t="shared" ref="T523" si="183">0.5*(U522+U524)*EXP(-T39*0.5)</f>
        <v>92.056465573901676</v>
      </c>
    </row>
    <row r="524" spans="1:21" x14ac:dyDescent="0.25">
      <c r="E524">
        <f>0.5*(F523+F525)*EXP(-E40*0.5)</f>
        <v>39.407414940798013</v>
      </c>
      <c r="G524">
        <f t="shared" ref="G524" si="184">0.5*(H523+H525)*EXP(-G40*0.5)</f>
        <v>41.910131491730539</v>
      </c>
      <c r="I524">
        <f t="shared" ref="I524" si="185">0.5*(J523+J525)*EXP(-I40*0.5)</f>
        <v>45.836016910641369</v>
      </c>
      <c r="K524">
        <f t="shared" ref="K524" si="186">0.5*(L523+L525)*EXP(-K40*0.5)</f>
        <v>51.259811017919745</v>
      </c>
      <c r="M524">
        <f t="shared" ref="M524" si="187">0.5*(N523+N525)*EXP(-M40*0.5)</f>
        <v>59.586086128490386</v>
      </c>
      <c r="O524">
        <f t="shared" ref="O524" si="188">0.5*(P523+P525)*EXP(-O40*0.5)</f>
        <v>69.446986298397221</v>
      </c>
      <c r="Q524">
        <f t="shared" ref="Q524" si="189">0.5*(R523+R525)*EXP(-Q40*0.5)</f>
        <v>77.76861725199322</v>
      </c>
      <c r="S524">
        <f t="shared" ref="S524" si="190">0.5*(T523+T525)*EXP(-S40*0.5)</f>
        <v>88.30035022442307</v>
      </c>
      <c r="U524">
        <v>100</v>
      </c>
    </row>
    <row r="525" spans="1:21" x14ac:dyDescent="0.25">
      <c r="D525">
        <f>0.5*(E524+E526)*EXP(-D41*0.5)</f>
        <v>48.340455849335896</v>
      </c>
      <c r="F525">
        <f t="shared" ref="F525" si="191">0.5*(G524+G526)*EXP(-F41*0.5)</f>
        <v>50.921289755498165</v>
      </c>
      <c r="H525">
        <f t="shared" ref="H525" si="192">0.5*(I524+I526)*EXP(-H41*0.5)</f>
        <v>54.383457610685184</v>
      </c>
      <c r="J525">
        <f t="shared" ref="J525" si="193">0.5*(K524+K526)*EXP(-J41*0.5)</f>
        <v>59.087218169868272</v>
      </c>
      <c r="L525">
        <f t="shared" ref="L525" si="194">0.5*(M524+M526)*EXP(-L41*0.5)</f>
        <v>64.940038058205587</v>
      </c>
      <c r="N525">
        <f t="shared" ref="N525" si="195">0.5*(O524+O526)*EXP(-N41*0.5)</f>
        <v>73.216193085679365</v>
      </c>
      <c r="P525">
        <f t="shared" ref="P525" si="196">0.5*(Q524+Q526)*EXP(-P41*0.5)</f>
        <v>80.178348875627719</v>
      </c>
      <c r="R525">
        <f t="shared" ref="R525" si="197">0.5*(S524+S526)*EXP(-R41*0.5)</f>
        <v>88.189451381158833</v>
      </c>
      <c r="T525">
        <f t="shared" ref="T525" si="198">0.5*(U524+U526)*EXP(-T41*0.5)</f>
        <v>95.407803405096388</v>
      </c>
    </row>
    <row r="526" spans="1:21" x14ac:dyDescent="0.25">
      <c r="C526">
        <f>0.5*(D525+D527)*EXP(-C42*0.5)</f>
        <v>56.76222783869953</v>
      </c>
      <c r="E526">
        <f t="shared" ref="E526" si="199">0.5*(F525+F527)*EXP(-E42*0.5)</f>
        <v>59.43632364077888</v>
      </c>
      <c r="G526">
        <f t="shared" ref="G526" si="200">0.5*(H525+H527)*EXP(-G42*0.5)</f>
        <v>62.5475022514225</v>
      </c>
      <c r="I526">
        <f t="shared" ref="I526" si="201">0.5*(J525+J527)*EXP(-I42*0.5)</f>
        <v>66.586366905657499</v>
      </c>
      <c r="K526">
        <f t="shared" ref="K526" si="202">0.5*(L525+L527)*EXP(-K42*0.5)</f>
        <v>71.318361060069648</v>
      </c>
      <c r="M526">
        <f t="shared" ref="M526" si="203">0.5*(N525+N527)*EXP(-M42*0.5)</f>
        <v>76.913220666930869</v>
      </c>
      <c r="O526">
        <f t="shared" ref="O526" si="204">0.5*(P525+P527)*EXP(-O42*0.5)</f>
        <v>82.342790567161401</v>
      </c>
      <c r="Q526">
        <f t="shared" ref="Q526" si="205">0.5*(R525+R527)*EXP(-Q42*0.5)</f>
        <v>86.96792274176137</v>
      </c>
      <c r="S526">
        <f t="shared" ref="S526" si="206">0.5*(T525+T527)*EXP(-S42*0.5)</f>
        <v>93.173242619755371</v>
      </c>
      <c r="U526">
        <v>100</v>
      </c>
    </row>
    <row r="527" spans="1:21" x14ac:dyDescent="0.25">
      <c r="B527">
        <f>0.5*(C526+C528)*EXP(-B43*0.5)</f>
        <v>64.362347274943374</v>
      </c>
      <c r="D527">
        <f t="shared" ref="D527" si="207">0.5*(E526+E528)*EXP(-D43*0.5)</f>
        <v>66.734914285265333</v>
      </c>
      <c r="F527">
        <f t="shared" ref="F527" si="208">0.5*(G526+G528)*EXP(-F43*0.5)</f>
        <v>69.531222067681583</v>
      </c>
      <c r="H527">
        <f t="shared" ref="H527" si="209">0.5*(I526+I528)*EXP(-H43*0.5)</f>
        <v>72.798621043937857</v>
      </c>
      <c r="J527">
        <f t="shared" ref="J527" si="210">0.5*(K526+K528)*EXP(-J43*0.5)</f>
        <v>76.516186408522231</v>
      </c>
      <c r="L527">
        <f t="shared" ref="L527" si="211">0.5*(M526+M528)*EXP(-L43*0.5)</f>
        <v>80.544993668182684</v>
      </c>
      <c r="N527">
        <f t="shared" ref="N527" si="212">0.5*(O526+O528)*EXP(-N43*0.5)</f>
        <v>84.992380010063187</v>
      </c>
      <c r="P527">
        <f t="shared" ref="P527" si="213">0.5*(Q526+Q528)*EXP(-P43*0.5)</f>
        <v>88.467130042328179</v>
      </c>
      <c r="R527">
        <f t="shared" ref="R527" si="214">0.5*(S526+S528)*EXP(-R43*0.5)</f>
        <v>93.182627564054258</v>
      </c>
      <c r="T527">
        <f t="shared" ref="T527" si="215">0.5*(U526+U528)*EXP(-T43*0.5)</f>
        <v>97.3653106245728</v>
      </c>
    </row>
    <row r="528" spans="1:21" x14ac:dyDescent="0.25">
      <c r="A528">
        <f>0.5*(B527+B529)*EXP(-A44*0.5)</f>
        <v>71.177032001547332</v>
      </c>
      <c r="C528">
        <f t="shared" ref="C528" si="216">0.5*(D527+D529)*EXP(-C44*0.5)</f>
        <v>73.090170725251014</v>
      </c>
      <c r="E528">
        <f t="shared" ref="E528" si="217">0.5*(F527+F529)*EXP(-E44*0.5)</f>
        <v>75.627881767077426</v>
      </c>
      <c r="G528">
        <f t="shared" ref="G528" si="218">0.5*(H527+H529)*EXP(-G44*0.5)</f>
        <v>78.264261498432958</v>
      </c>
      <c r="I528">
        <f t="shared" ref="I528" si="219">0.5*(J527+J529)*EXP(-I44*0.5)</f>
        <v>81.238804427213836</v>
      </c>
      <c r="K528">
        <f t="shared" ref="K528" si="220">0.5*(L527+L529)*EXP(-K44*0.5)</f>
        <v>84.30798315160267</v>
      </c>
      <c r="M528">
        <f t="shared" ref="M528" si="221">0.5*(N527+N529)*EXP(-M44*0.5)</f>
        <v>87.402184384651918</v>
      </c>
      <c r="O528">
        <f t="shared" ref="O528" si="222">0.5*(P527+P529)*EXP(-O44*0.5)</f>
        <v>90.095522149081901</v>
      </c>
      <c r="Q528">
        <f t="shared" ref="Q528" si="223">0.5*(R527+R529)*EXP(-Q44*0.5)</f>
        <v>92.543974247054265</v>
      </c>
      <c r="S528">
        <f t="shared" ref="S528" si="224">0.5*(T527+T529)*EXP(-S44*0.5)</f>
        <v>96.062262819612101</v>
      </c>
      <c r="U528">
        <v>100</v>
      </c>
    </row>
    <row r="529" spans="2:21" x14ac:dyDescent="0.25">
      <c r="B529">
        <f>0.5*(C528+C530)*EXP(-B45*0.5)</f>
        <v>78.462261110573564</v>
      </c>
      <c r="D529">
        <f t="shared" ref="D529" si="225">0.5*(E528+E530)*EXP(-D45*0.5)</f>
        <v>80.513937374656393</v>
      </c>
      <c r="F529">
        <f t="shared" ref="F529" si="226">0.5*(G528+G530)*EXP(-F45*0.5)</f>
        <v>82.71241549788931</v>
      </c>
      <c r="H529">
        <f t="shared" ref="H529" si="227">0.5*(I528+I530)*EXP(-H45*0.5)</f>
        <v>85.012154553458572</v>
      </c>
      <c r="J529">
        <f t="shared" ref="J529" si="228">0.5*(K528+K530)*EXP(-J45*0.5)</f>
        <v>87.317158048246526</v>
      </c>
      <c r="L529">
        <f t="shared" ref="L529" si="229">0.5*(M528+M530)*EXP(-L45*0.5)</f>
        <v>89.609573714388858</v>
      </c>
      <c r="N529">
        <f t="shared" ref="N529" si="230">0.5*(O528+O530)*EXP(-N45*0.5)</f>
        <v>91.781268623957843</v>
      </c>
      <c r="P529">
        <f t="shared" ref="P529" si="231">0.5*(Q528+Q530)*EXP(-P45*0.5)</f>
        <v>93.439570284579148</v>
      </c>
      <c r="R529">
        <f t="shared" ref="R529" si="232">0.5*(S528+S530)*EXP(-R45*0.5)</f>
        <v>96.111301088739793</v>
      </c>
      <c r="T529">
        <f t="shared" ref="T529" si="233">0.5*(U528+U530)*EXP(-T45*0.5)</f>
        <v>98.494948394140962</v>
      </c>
    </row>
    <row r="530" spans="2:21" x14ac:dyDescent="0.25">
      <c r="C530">
        <f t="shared" ref="C530" si="234">0.5*(D529+D531)*EXP(-C46*0.5)</f>
        <v>84.570734755060471</v>
      </c>
      <c r="E530">
        <f t="shared" ref="E530" si="235">0.5*(F529+F531)*EXP(-E46*0.5)</f>
        <v>86.429599624794022</v>
      </c>
      <c r="G530">
        <f t="shared" ref="G530" si="236">0.5*(H529+H531)*EXP(-G46*0.5)</f>
        <v>88.183366486162541</v>
      </c>
      <c r="I530">
        <f t="shared" ref="I530" si="237">0.5*(J529+J531)*EXP(-I46*0.5)</f>
        <v>89.975845343501916</v>
      </c>
      <c r="K530">
        <f t="shared" ref="K530" si="238">0.5*(L529+L531)*EXP(-K46*0.5)</f>
        <v>91.680064290272355</v>
      </c>
      <c r="M530">
        <f t="shared" ref="M530" si="239">0.5*(N529+N531)*EXP(-M46*0.5)</f>
        <v>93.239576722264033</v>
      </c>
      <c r="O530">
        <f t="shared" ref="O530" si="240">0.5*(P529+P531)*EXP(-O46*0.5)</f>
        <v>94.519159156755322</v>
      </c>
      <c r="Q530">
        <f t="shared" ref="Q530" si="241">0.5*(R529+R531)*EXP(-Q46*0.5)</f>
        <v>95.791535721949401</v>
      </c>
      <c r="S530">
        <f t="shared" ref="S530" si="242">0.5*(T529+T531)*EXP(-S46*0.5)</f>
        <v>97.743691302504004</v>
      </c>
      <c r="U530">
        <v>100</v>
      </c>
    </row>
    <row r="531" spans="2:21" x14ac:dyDescent="0.25">
      <c r="D531">
        <f t="shared" ref="D531" si="243">0.5*(E530+E532)*EXP(-D47*0.5)</f>
        <v>89.290000495381634</v>
      </c>
      <c r="F531">
        <f t="shared" ref="F531" si="244">0.5*(G530+G532)*EXP(-F47*0.5)</f>
        <v>90.702524716220296</v>
      </c>
      <c r="H531">
        <f t="shared" ref="H531" si="245">0.5*(I530+I532)*EXP(-H47*0.5)</f>
        <v>92.065472861886619</v>
      </c>
      <c r="J531">
        <f t="shared" ref="J531" si="246">0.5*(K530+K532)*EXP(-J47*0.5)</f>
        <v>93.322803794448802</v>
      </c>
      <c r="L531">
        <f t="shared" ref="L531" si="247">0.5*(M530+M532)*EXP(-L47*0.5)</f>
        <v>94.517320898773804</v>
      </c>
      <c r="N531">
        <f t="shared" ref="N531" si="248">0.5*(O530+O532)*EXP(-N47*0.5)</f>
        <v>95.532912196540181</v>
      </c>
      <c r="P531">
        <f t="shared" ref="P531" si="249">0.5*(Q530+Q532)*EXP(-P47*0.5)</f>
        <v>96.314541036656209</v>
      </c>
      <c r="R531">
        <f t="shared" ref="R531" si="250">0.5*(S530+S532)*EXP(-R47*0.5)</f>
        <v>97.79631790494004</v>
      </c>
      <c r="T531">
        <f t="shared" ref="T531" si="251">0.5*(U530+U532)*EXP(-T47*0.5)</f>
        <v>99.142375630679723</v>
      </c>
    </row>
    <row r="532" spans="2:21" x14ac:dyDescent="0.25">
      <c r="E532">
        <f t="shared" ref="E532" si="252">0.5*(F531+F533)*EXP(-E48*0.5)</f>
        <v>92.762357361774789</v>
      </c>
      <c r="G532">
        <f t="shared" ref="G532" si="253">0.5*(H531+H533)*EXP(-G48*0.5)</f>
        <v>93.773845240287216</v>
      </c>
      <c r="I532">
        <f t="shared" ref="I532" si="254">0.5*(J531+J533)*EXP(-I48*0.5)</f>
        <v>94.746206337335252</v>
      </c>
      <c r="K532">
        <f t="shared" ref="K532" si="255">0.5*(L531+L533)*EXP(-K48*0.5)</f>
        <v>95.628845636663726</v>
      </c>
      <c r="M532">
        <f t="shared" ref="M532" si="256">0.5*(N531+N533)*EXP(-M48*0.5)</f>
        <v>96.392086612043059</v>
      </c>
      <c r="O532">
        <f t="shared" ref="O532" si="257">0.5*(P531+P533)*EXP(-O48*0.5)</f>
        <v>96.982686057164614</v>
      </c>
      <c r="Q532">
        <f t="shared" ref="Q532" si="258">0.5*(R531+R533)*EXP(-Q48*0.5)</f>
        <v>97.641830362400682</v>
      </c>
      <c r="S532">
        <f t="shared" ref="S532" si="259">0.5*(T531+T533)*EXP(-S48*0.5)</f>
        <v>98.712038527671027</v>
      </c>
      <c r="U532">
        <v>100</v>
      </c>
    </row>
    <row r="533" spans="2:21" x14ac:dyDescent="0.25">
      <c r="F533">
        <f t="shared" ref="F533" si="260">0.5*(G532+G534)*EXP(-F49*0.5)</f>
        <v>95.116046757039797</v>
      </c>
      <c r="H533">
        <f t="shared" ref="H533" si="261">0.5*(I532+I534)*EXP(-H49*0.5)</f>
        <v>95.854578859165443</v>
      </c>
      <c r="J533">
        <f t="shared" ref="J533" si="262">0.5*(K532+K534)*EXP(-J49*0.5)</f>
        <v>96.50222685222829</v>
      </c>
      <c r="L533">
        <f t="shared" ref="L533" si="263">0.5*(M532+M534)*EXP(-L49*0.5)</f>
        <v>97.107386253383439</v>
      </c>
      <c r="N533">
        <f t="shared" ref="N533" si="264">0.5*(O532+O534)*EXP(-N49*0.5)</f>
        <v>97.595086350586186</v>
      </c>
      <c r="P533">
        <f t="shared" ref="P533" si="265">0.5*(Q532+Q534)*EXP(-P49*0.5)</f>
        <v>97.943412837897625</v>
      </c>
      <c r="R533">
        <f t="shared" ref="R533" si="266">0.5*(S532+S534)*EXP(-R49*0.5)</f>
        <v>98.755552992469418</v>
      </c>
      <c r="T533">
        <f t="shared" ref="T533" si="267">0.5*(U532+U534)*EXP(-T49*0.5)</f>
        <v>99.511988446792799</v>
      </c>
    </row>
    <row r="534" spans="2:21" x14ac:dyDescent="0.25">
      <c r="G534">
        <f t="shared" ref="G534" si="268">0.5*(H533+H535)*EXP(-G50*0.5)</f>
        <v>96.743530125391445</v>
      </c>
      <c r="I534">
        <f t="shared" ref="I534" si="269">0.5*(J533+J535)*EXP(-I50*0.5)</f>
        <v>97.245441323872569</v>
      </c>
      <c r="K534">
        <f t="shared" ref="K534" si="270">0.5*(L533+L535)*EXP(-K50*0.5)</f>
        <v>97.690413805685338</v>
      </c>
      <c r="M534">
        <f t="shared" ref="M534" si="271">0.5*(N533+N535)*EXP(-M50*0.5)</f>
        <v>98.067084200323691</v>
      </c>
      <c r="O534">
        <f t="shared" ref="O534" si="272">0.5*(P533+P535)*EXP(-O50*0.5)</f>
        <v>98.385013552873843</v>
      </c>
      <c r="Q534">
        <f t="shared" ref="Q534" si="273">0.5*(R533+R535)*EXP(-Q50*0.5)</f>
        <v>98.68355832520642</v>
      </c>
      <c r="S534">
        <f t="shared" ref="S534" si="274">0.5*(T533+T535)*EXP(-S50*0.5)</f>
        <v>99.266385607851504</v>
      </c>
      <c r="U534">
        <v>100</v>
      </c>
    </row>
    <row r="535" spans="2:21" x14ac:dyDescent="0.25">
      <c r="H535">
        <f t="shared" ref="H535" si="275">0.5*(I534+I536)*EXP(-H51*0.5)</f>
        <v>97.821800135903857</v>
      </c>
      <c r="J535">
        <f t="shared" ref="J535" si="276">0.5*(K534+K536)*EXP(-J51*0.5)</f>
        <v>98.145419600975643</v>
      </c>
      <c r="L535">
        <f t="shared" ref="L535" si="277">0.5*(M534+M536)*EXP(-L51*0.5)</f>
        <v>98.445596852359444</v>
      </c>
      <c r="N535">
        <f t="shared" ref="N535" si="278">0.5*(O534+O536)*EXP(-N51*0.5)</f>
        <v>98.678515409894757</v>
      </c>
      <c r="P535">
        <f t="shared" ref="P535" si="279">0.5*(Q534+Q536)*EXP(-P51*0.5)</f>
        <v>98.834648500949029</v>
      </c>
      <c r="R535">
        <f t="shared" ref="R535" si="280">0.5*(S534+S536)*EXP(-R51*0.5)</f>
        <v>99.298485818646384</v>
      </c>
      <c r="T535">
        <f t="shared" ref="T535" si="281">0.5*(U534+U536)*EXP(-T51*0.5)</f>
        <v>99.722530908228762</v>
      </c>
    </row>
    <row r="536" spans="2:21" x14ac:dyDescent="0.25">
      <c r="I536">
        <f t="shared" ref="I536" si="282">0.5*(J535+J537)*EXP(-I52*0.5)</f>
        <v>98.530547632323234</v>
      </c>
      <c r="K536">
        <f t="shared" ref="K536" si="283">0.5*(L535+L537)*EXP(-K52*0.5)</f>
        <v>98.747447339491856</v>
      </c>
      <c r="M536">
        <f t="shared" ref="M536" si="284">0.5*(N535+N537)*EXP(-M52*0.5)</f>
        <v>98.922886804466799</v>
      </c>
      <c r="O536">
        <f t="shared" ref="O536" si="285">0.5*(P535+P537)*EXP(-O52*0.5)</f>
        <v>99.043585423375674</v>
      </c>
      <c r="Q536">
        <f t="shared" ref="Q536" si="286">0.5*(R535+R537)*EXP(-Q52*0.5)</f>
        <v>99.22314895583709</v>
      </c>
      <c r="S536">
        <f t="shared" ref="S536" si="287">0.5*(T535+T537)*EXP(-S52*0.5)</f>
        <v>99.582652245664633</v>
      </c>
      <c r="U536">
        <v>100</v>
      </c>
    </row>
    <row r="537" spans="2:21" x14ac:dyDescent="0.25">
      <c r="J537">
        <f t="shared" ref="J537" si="288">0.5*(K536+K538)*EXP(-J53*0.5)</f>
        <v>98.988630054271766</v>
      </c>
      <c r="L537">
        <f t="shared" ref="L537" si="289">0.5*(M536+M538)*EXP(-L53*0.5)</f>
        <v>99.129224090835379</v>
      </c>
      <c r="N537">
        <f t="shared" ref="N537" si="290">0.5*(O536+O538)*EXP(-N53*0.5)</f>
        <v>99.223340657843281</v>
      </c>
      <c r="P537">
        <f t="shared" ref="P537" si="291">0.5*(Q536+Q538)*EXP(-P53*0.5)</f>
        <v>99.300018906724347</v>
      </c>
      <c r="R537">
        <f t="shared" ref="R537" si="292">0.5*(S536+S538)*EXP(-R53*0.5)</f>
        <v>99.518224217558256</v>
      </c>
      <c r="T537">
        <f t="shared" ref="T537" si="293">0.5*(U536+U538)*EXP(-T53*0.5)</f>
        <v>99.842311129258775</v>
      </c>
    </row>
    <row r="538" spans="2:21" x14ac:dyDescent="0.25">
      <c r="K538">
        <f t="shared" ref="K538" si="294">0.5*(L537+L539)*EXP(-K54*0.5)</f>
        <v>99.297922271400353</v>
      </c>
      <c r="M538">
        <f t="shared" ref="M538" si="295">0.5*(N537+N539)*EXP(-M54*0.5)</f>
        <v>99.3752235231063</v>
      </c>
      <c r="O538">
        <f t="shared" ref="O538" si="296">0.5*(P537+P539)*EXP(-O54*0.5)</f>
        <v>99.431793349007478</v>
      </c>
      <c r="Q538">
        <f t="shared" ref="Q538" si="297">0.5*(R537+R539)*EXP(-Q54*0.5)</f>
        <v>99.504879265767968</v>
      </c>
      <c r="S538">
        <f t="shared" ref="S538" si="298">0.5*(T537+T539)*EXP(-S54*0.5)</f>
        <v>99.589348121494297</v>
      </c>
      <c r="U538">
        <v>100</v>
      </c>
    </row>
    <row r="539" spans="2:21" x14ac:dyDescent="0.25">
      <c r="L539">
        <f t="shared" ref="L539" si="299">0.5*(M538+M540)*EXP(-L55*0.5)</f>
        <v>99.503539831663332</v>
      </c>
      <c r="N539">
        <f t="shared" ref="N539" si="300">0.5*(O538+O540)*EXP(-N55*0.5)</f>
        <v>99.549573694167165</v>
      </c>
      <c r="P539">
        <f t="shared" ref="P539" si="301">0.5*(Q538+Q540)*EXP(-P55*0.5)</f>
        <v>99.582583337818562</v>
      </c>
      <c r="R539">
        <f t="shared" ref="R539" si="302">0.5*(S538+S540)*EXP(-R55*0.5)</f>
        <v>99.690825483029229</v>
      </c>
      <c r="T539">
        <f t="shared" ref="T539" si="303">0.5*(U538+U540)*EXP(-T55*0.5)</f>
        <v>99.91040682611218</v>
      </c>
    </row>
    <row r="540" spans="2:21" x14ac:dyDescent="0.25">
      <c r="M540">
        <f t="shared" ref="M540" si="304">0.5*(N539+N541)*EXP(-M56*0.5)</f>
        <v>99.647733052443343</v>
      </c>
      <c r="O540">
        <f t="shared" ref="O540" si="305">0.5*(P539+P541)*EXP(-O56*0.5)</f>
        <v>99.678836362503475</v>
      </c>
      <c r="Q540">
        <f t="shared" ref="Q540" si="306">0.5*(R539+R541)*EXP(-Q56*0.5)</f>
        <v>99.729169327619573</v>
      </c>
      <c r="S540">
        <f t="shared" ref="S540" si="307">0.5*(T539+T541)*EXP(-S56*0.5)</f>
        <v>99.865172797976967</v>
      </c>
      <c r="U540">
        <v>100</v>
      </c>
    </row>
    <row r="541" spans="2:21" x14ac:dyDescent="0.25">
      <c r="N541">
        <f t="shared" ref="N541" si="308">0.5*(O540+O542)*EXP(-N57*0.5)</f>
        <v>99.754877143371786</v>
      </c>
      <c r="P541">
        <f t="shared" ref="P541" si="309">0.5*(Q540+Q542)*EXP(-P57*0.5)</f>
        <v>99.782691827929753</v>
      </c>
      <c r="R541">
        <f t="shared" ref="R541" si="310">0.5*(S540+S542)*EXP(-R57*0.5)</f>
        <v>99.874695777037189</v>
      </c>
      <c r="T541">
        <f t="shared" ref="T541" si="311">0.5*(U540+U542)*EXP(-T57*0.5)</f>
        <v>99.949103858496542</v>
      </c>
    </row>
    <row r="542" spans="2:21" x14ac:dyDescent="0.25">
      <c r="O542">
        <f t="shared" ref="O542" si="312">0.5*(P541+P543)*EXP(-O58*0.5)</f>
        <v>99.835506697990979</v>
      </c>
      <c r="Q542">
        <f t="shared" ref="Q542" si="313">0.5*(R541+R543)*EXP(-Q58*0.5)</f>
        <v>99.873256874676784</v>
      </c>
      <c r="S542">
        <f t="shared" ref="S542" si="314">0.5*(T541+T543)*EXP(-S58*0.5)</f>
        <v>99.923399322228917</v>
      </c>
      <c r="U542">
        <v>100</v>
      </c>
    </row>
    <row r="543" spans="2:21" x14ac:dyDescent="0.25">
      <c r="P543">
        <f t="shared" ref="P543" si="315">0.5*(Q542+Q544)*EXP(-P59*0.5)</f>
        <v>99.891358318885608</v>
      </c>
      <c r="R543">
        <f t="shared" ref="R543" si="316">0.5*(S542+S544)*EXP(-R59*0.5)</f>
        <v>99.929422470946591</v>
      </c>
      <c r="T543">
        <f t="shared" ref="T543" si="317">0.5*(U542+U544)*EXP(-T59*0.5)</f>
        <v>99.971089308840249</v>
      </c>
    </row>
    <row r="544" spans="2:21" x14ac:dyDescent="0.25">
      <c r="Q544">
        <f t="shared" ref="Q544" si="318">0.5*(R543+R545)*EXP(-Q60*0.5)</f>
        <v>99.929362528777588</v>
      </c>
      <c r="S544">
        <f t="shared" ref="S544" si="319">0.5*(T543+T545)*EXP(-S60*0.5)</f>
        <v>99.956485709190829</v>
      </c>
      <c r="U544">
        <v>100</v>
      </c>
    </row>
    <row r="545" spans="14:25" x14ac:dyDescent="0.25">
      <c r="R545">
        <f t="shared" ref="R545" si="320">0.5*(S544+S546)*EXP(-R61*0.5)</f>
        <v>99.960236183897962</v>
      </c>
      <c r="T545">
        <f t="shared" ref="T545" si="321">0.5*(U544+U546)*EXP(-T61*0.5)</f>
        <v>99.983578551676004</v>
      </c>
    </row>
    <row r="546" spans="14:25" x14ac:dyDescent="0.25">
      <c r="S546">
        <f t="shared" ref="S546" si="322">0.5*(T545+T547)*EXP(-S62*0.5)</f>
        <v>99.97528278618266</v>
      </c>
      <c r="U546">
        <v>100</v>
      </c>
    </row>
    <row r="547" spans="14:25" x14ac:dyDescent="0.25">
      <c r="T547">
        <f t="shared" ref="T547" si="323">0.5*(U546+U548)*EXP(-T63*0.5)</f>
        <v>99.990672769208757</v>
      </c>
    </row>
    <row r="548" spans="14:25" x14ac:dyDescent="0.25">
      <c r="U548">
        <v>100</v>
      </c>
    </row>
    <row r="552" spans="14:25" x14ac:dyDescent="0.25">
      <c r="V552">
        <v>100</v>
      </c>
      <c r="X552">
        <f>0.5*LN(U24/U26)/SQRT(0.5)</f>
        <v>0.40000004248943599</v>
      </c>
      <c r="Y552">
        <f>(X552-C22)^2*1000000</f>
        <v>1.8053521690171325E-9</v>
      </c>
    </row>
    <row r="553" spans="14:25" x14ac:dyDescent="0.25">
      <c r="U553">
        <f>0.5*(V552+V554)*EXP(-U24*0.5)</f>
        <v>0.24041804010079859</v>
      </c>
      <c r="Y553">
        <f>(D22-A573)^2*100000</f>
        <v>8.9123107487310311E-8</v>
      </c>
    </row>
    <row r="554" spans="14:25" x14ac:dyDescent="0.25">
      <c r="T554">
        <f>0.5*(U553+U555)*EXP(-T25*0.5)</f>
        <v>2.2758988448299745E-2</v>
      </c>
      <c r="V554">
        <v>100</v>
      </c>
      <c r="Y554">
        <f>Y552+Y553</f>
        <v>9.0928459656327439E-8</v>
      </c>
    </row>
    <row r="555" spans="14:25" x14ac:dyDescent="0.25">
      <c r="S555">
        <f>0.5*(T554+T556)*EXP(-S26*0.5)</f>
        <v>1.6777129565863389E-2</v>
      </c>
      <c r="U555">
        <f>0.5*(V554+V556)*EXP(-U26*0.5)</f>
        <v>3.2543636575715316</v>
      </c>
    </row>
    <row r="556" spans="14:25" x14ac:dyDescent="0.25">
      <c r="R556">
        <f>0.5*(S555+S557)*EXP(-R27*0.5)</f>
        <v>3.1168190584942503E-2</v>
      </c>
      <c r="T556">
        <f>0.5*(U555+U557)*EXP(-T27*0.5)</f>
        <v>0.74545839023529237</v>
      </c>
      <c r="V556">
        <v>100</v>
      </c>
    </row>
    <row r="557" spans="14:25" x14ac:dyDescent="0.25">
      <c r="Q557">
        <f>0.5*(R556+R558)*EXP(-Q28*0.5)</f>
        <v>1.5661069648520595E-2</v>
      </c>
      <c r="S557">
        <f>0.5*(T556+T558)*EXP(-S28*0.5)</f>
        <v>0.5566151457388312</v>
      </c>
      <c r="U557">
        <f>0.5*(V556+V558)*EXP(-U28*0.5)</f>
        <v>14.293031533705516</v>
      </c>
    </row>
    <row r="558" spans="14:25" x14ac:dyDescent="0.25">
      <c r="P558">
        <f>0.5*(Q557+Q559)*EXP(-P29*0.5)</f>
        <v>9.2195367543923282E-2</v>
      </c>
      <c r="R558">
        <f>0.5*(S557+S559)*EXP(-R29*0.5)</f>
        <v>0.78666078685729379</v>
      </c>
      <c r="T558">
        <f>0.5*(U557+U559)*EXP(-T29*0.5)</f>
        <v>5.8443933492082252</v>
      </c>
      <c r="V558">
        <v>100</v>
      </c>
    </row>
    <row r="559" spans="14:25" x14ac:dyDescent="0.25">
      <c r="O559">
        <f>0.5*(P558+P560)*EXP(-O30*0.5)</f>
        <v>2.0782317498348061E-3</v>
      </c>
      <c r="Q559">
        <f>0.5*(R558+R560)*EXP(-Q30*0.5)</f>
        <v>0.55348597363857821</v>
      </c>
      <c r="S559">
        <f>0.5*(T558+T560)*EXP(-S30*0.5)</f>
        <v>4.6203241192421487</v>
      </c>
      <c r="U559">
        <f>0.5*(V558+V560)*EXP(-U30*0.5)</f>
        <v>33.123437845403437</v>
      </c>
    </row>
    <row r="560" spans="14:25" x14ac:dyDescent="0.25">
      <c r="N560">
        <f>0.5*(O559+O561)*EXP(-N31*0.5)</f>
        <v>6.2571304838621141E-3</v>
      </c>
      <c r="P560">
        <f>0.5*(Q559+Q561)*EXP(-P31*0.5)</f>
        <v>1.4319402105961632</v>
      </c>
      <c r="R560">
        <f>0.5*(S559+S561)*EXP(-R31*0.5)</f>
        <v>5.5899121544392845</v>
      </c>
      <c r="T560">
        <f>0.5*(U559+U561)*EXP(-T31*0.5)</f>
        <v>19.526804595972973</v>
      </c>
      <c r="V560">
        <v>100</v>
      </c>
    </row>
    <row r="561" spans="1:22" x14ac:dyDescent="0.25">
      <c r="M561">
        <f>0.5*(N560+N562)*EXP(-M32*0.5)</f>
        <v>2.3792724681476855E-2</v>
      </c>
      <c r="O561">
        <f>0.5*(P560+P562)*EXP(-O32*0.5)</f>
        <v>0.43847490069204287</v>
      </c>
      <c r="Q561">
        <f>0.5*(R560+R562)*EXP(-Q32*0.5)</f>
        <v>4.6906990086287141</v>
      </c>
      <c r="S561">
        <f>0.5*(T560+T562)*EXP(-S32*0.5)</f>
        <v>16.566378464084803</v>
      </c>
      <c r="U561">
        <f>0.5*(V560+V562)*EXP(-U32*0.5)</f>
        <v>53.388900979116947</v>
      </c>
    </row>
    <row r="562" spans="1:22" x14ac:dyDescent="0.25">
      <c r="L562">
        <f>0.5*(M561+M563)*EXP(-L33*0.5)</f>
        <v>0.10221616265840679</v>
      </c>
      <c r="N562">
        <f>0.5*(O561+O563)*EXP(-N33*0.5)</f>
        <v>0.76371643921818089</v>
      </c>
      <c r="P562">
        <f>0.5*(Q561+Q563)*EXP(-P33*0.5)</f>
        <v>7.8080955557461751</v>
      </c>
      <c r="R562">
        <f>0.5*(S561+S563)*EXP(-R33*0.5)</f>
        <v>18.422032745953526</v>
      </c>
      <c r="T562">
        <f>0.5*(U561+U563)*EXP(-T33*0.5)</f>
        <v>39.275108970568702</v>
      </c>
      <c r="V562">
        <v>100</v>
      </c>
    </row>
    <row r="563" spans="1:22" x14ac:dyDescent="0.25">
      <c r="K563">
        <f>0.5*(L562+L564)*EXP(-K34*0.5)</f>
        <v>0.948887735903581</v>
      </c>
      <c r="M563">
        <f>0.5*(N562+N564)*EXP(-M34*0.5)</f>
        <v>1.4344660368046758</v>
      </c>
      <c r="O563">
        <f>0.5*(P562+P564)*EXP(-O34*0.5)</f>
        <v>5.8824159059037804</v>
      </c>
      <c r="Q563">
        <f>0.5*(R562+R564)*EXP(-Q34*0.5)</f>
        <v>16.91594771990011</v>
      </c>
      <c r="S563">
        <f>0.5*(T562+T564)*EXP(-S34*0.5)</f>
        <v>35.359039695887489</v>
      </c>
      <c r="U563">
        <f>0.5*(V562+V564)*EXP(-U34*0.5)</f>
        <v>70.016459938453835</v>
      </c>
    </row>
    <row r="564" spans="1:22" x14ac:dyDescent="0.25">
      <c r="J564">
        <f>0.5*(K563+K565)*EXP(-J35*0.5)</f>
        <v>2.925159076291679</v>
      </c>
      <c r="L564">
        <f>0.5*(M563+M565)*EXP(-L35*0.5)</f>
        <v>2.8559207783852281</v>
      </c>
      <c r="N564">
        <f>0.5*(O563+O565)*EXP(-N35*0.5)</f>
        <v>7.9438597299941689</v>
      </c>
      <c r="P564">
        <f>0.5*(Q563+Q565)*EXP(-P35*0.5)</f>
        <v>22.284557328847825</v>
      </c>
      <c r="R564">
        <f>0.5*(S563+S565)*EXP(-R35*0.5)</f>
        <v>37.60525135295331</v>
      </c>
      <c r="T564">
        <f>0.5*(U563+U565)*EXP(-T35*0.5)</f>
        <v>58.680933807928433</v>
      </c>
      <c r="V564">
        <v>100</v>
      </c>
    </row>
    <row r="565" spans="1:22" x14ac:dyDescent="0.25">
      <c r="I565">
        <f>0.5*(J564+J566)*EXP(-I36*0.5)</f>
        <v>6.8482034859148477</v>
      </c>
      <c r="K565">
        <f>0.5*(L564+L566)*EXP(-K36*0.5)</f>
        <v>7.5832266148959233</v>
      </c>
      <c r="M565">
        <f>0.5*(N564+N566)*EXP(-M36*0.5)</f>
        <v>11.070571707137402</v>
      </c>
      <c r="O565">
        <f>0.5*(P564+P566)*EXP(-O36*0.5)</f>
        <v>22.111376373316254</v>
      </c>
      <c r="Q565">
        <f>0.5*(R564+R566)*EXP(-Q36*0.5)</f>
        <v>36.138278483582219</v>
      </c>
      <c r="S565">
        <f>0.5*(T564+T566)*EXP(-S36*0.5)</f>
        <v>55.059703987952332</v>
      </c>
      <c r="U565">
        <f>0.5*(V564+V566)*EXP(-U36*0.5)</f>
        <v>81.672946459618956</v>
      </c>
    </row>
    <row r="566" spans="1:22" x14ac:dyDescent="0.25">
      <c r="H566">
        <f>0.5*(I565+I567)*EXP(-H37*0.5)</f>
        <v>12.164093527729881</v>
      </c>
      <c r="J566">
        <f>0.5*(K565+K567)*EXP(-J37*0.5)</f>
        <v>13.58007646379882</v>
      </c>
      <c r="L566">
        <f>0.5*(M565+M567)*EXP(-L37*0.5)</f>
        <v>15.741195234601763</v>
      </c>
      <c r="N566">
        <f>0.5*(O565+O567)*EXP(-N37*0.5)</f>
        <v>26.531044753014758</v>
      </c>
      <c r="P566">
        <f>0.5*(Q565+Q567)*EXP(-P37*0.5)</f>
        <v>42.030871150543049</v>
      </c>
      <c r="R566">
        <f>0.5*(S565+S567)*EXP(-R37*0.5)</f>
        <v>57.145250494206557</v>
      </c>
      <c r="T566">
        <f>0.5*(U565+U567)*EXP(-T37*0.5)</f>
        <v>73.824039168447101</v>
      </c>
      <c r="V566">
        <v>100</v>
      </c>
    </row>
    <row r="567" spans="1:22" x14ac:dyDescent="0.25">
      <c r="G567">
        <f>0.5*(H566+H568)*EXP(-G38*0.5)</f>
        <v>19.717950584729834</v>
      </c>
      <c r="I567">
        <f>0.5*(J566+J568)*EXP(-I38*0.5)</f>
        <v>21.604909126626723</v>
      </c>
      <c r="K567">
        <f>0.5*(L566+L568)*EXP(-K38*0.5)</f>
        <v>24.717971627041393</v>
      </c>
      <c r="M567">
        <f>0.5*(N566+N568)*EXP(-M38*0.5)</f>
        <v>31.961312735555932</v>
      </c>
      <c r="O567">
        <f>0.5*(P566+P568)*EXP(-O38*0.5)</f>
        <v>44.399819573129662</v>
      </c>
      <c r="Q567">
        <f>0.5*(R566+R568)*EXP(-Q38*0.5)</f>
        <v>56.165945159744687</v>
      </c>
      <c r="S567">
        <f>0.5*(T566+T568)*EXP(-S38*0.5)</f>
        <v>71.105056933808569</v>
      </c>
      <c r="U567">
        <f>0.5*(V566+V568)*EXP(-U38*0.5)</f>
        <v>89.138025353496303</v>
      </c>
    </row>
    <row r="568" spans="1:22" x14ac:dyDescent="0.25">
      <c r="F568">
        <f>0.5*(G567+G569)*EXP(-F39*0.5)</f>
        <v>28.115299325216853</v>
      </c>
      <c r="H568">
        <f>0.5*(I567+I569)*EXP(-H39*0.5)</f>
        <v>30.04921589435585</v>
      </c>
      <c r="J568">
        <f>0.5*(K567+K569)*EXP(-J39*0.5)</f>
        <v>33.4961252580691</v>
      </c>
      <c r="L568">
        <f>0.5*(M567+M569)*EXP(-L39*0.5)</f>
        <v>38.549909151227212</v>
      </c>
      <c r="N568">
        <f>0.5*(O567+O569)*EXP(-N39*0.5)</f>
        <v>49.738186947634524</v>
      </c>
      <c r="P568">
        <f>0.5*(Q567+Q569)*EXP(-P39*0.5)</f>
        <v>61.075932139526344</v>
      </c>
      <c r="R568">
        <f>0.5*(S567+S569)*EXP(-R39*0.5)</f>
        <v>72.756329965871501</v>
      </c>
      <c r="T568">
        <f>0.5*(U567+U569)*EXP(-T39*0.5)</f>
        <v>84.146950308664088</v>
      </c>
      <c r="V568">
        <v>100</v>
      </c>
    </row>
    <row r="569" spans="1:22" x14ac:dyDescent="0.25">
      <c r="E569">
        <f>0.5*(F568+F570)*EXP(-E40*0.5)</f>
        <v>37.27591270099807</v>
      </c>
      <c r="G569">
        <f>0.5*(H568+H570)*EXP(-G40*0.5)</f>
        <v>39.479615254465855</v>
      </c>
      <c r="I569">
        <f>0.5*(J568+J570)*EXP(-I40*0.5)</f>
        <v>42.977173563610954</v>
      </c>
      <c r="K569">
        <f>0.5*(L568+L570)*EXP(-K40*0.5)</f>
        <v>47.82773606519951</v>
      </c>
      <c r="M569">
        <f>0.5*(N568+N570)*EXP(-M40*0.5)</f>
        <v>55.372524245660131</v>
      </c>
      <c r="O569">
        <f>0.5*(P568+P570)*EXP(-O40*0.5)</f>
        <v>64.455231703933677</v>
      </c>
      <c r="Q569">
        <f>0.5*(R568+R570)*EXP(-Q40*0.5)</f>
        <v>72.275125706639997</v>
      </c>
      <c r="S569">
        <f>0.5*(T568+T570)*EXP(-S40*0.5)</f>
        <v>82.336020338421292</v>
      </c>
      <c r="U569">
        <f>0.5*(V568+V570)*EXP(-U40*0.5)</f>
        <v>93.677923062668043</v>
      </c>
    </row>
    <row r="570" spans="1:22" x14ac:dyDescent="0.25">
      <c r="D570">
        <f>0.5*(E569+E571)*EXP(-D41*0.5)</f>
        <v>46.128627938238367</v>
      </c>
      <c r="F570">
        <f>0.5*(G569+G571)*EXP(-F41*0.5)</f>
        <v>48.45976013138057</v>
      </c>
      <c r="H570">
        <f>0.5*(I569+I571)*EXP(-H41*0.5)</f>
        <v>51.604667977565349</v>
      </c>
      <c r="J570">
        <f>0.5*(K569+K571)*EXP(-J41*0.5)</f>
        <v>55.909849421053472</v>
      </c>
      <c r="L570">
        <f>0.5*(M569+M571)*EXP(-L41*0.5)</f>
        <v>61.312308316648945</v>
      </c>
      <c r="N570">
        <f>0.5*(O569+O571)*EXP(-N41*0.5)</f>
        <v>69.08793233545903</v>
      </c>
      <c r="P570">
        <f>0.5*(Q569+Q571)*EXP(-P41*0.5)</f>
        <v>75.748038425730954</v>
      </c>
      <c r="R570">
        <f>0.5*(S569+S571)*EXP(-R41*0.5)</f>
        <v>83.519879958122914</v>
      </c>
      <c r="T570">
        <f>0.5*(U569+U571)*EXP(-T41*0.5)</f>
        <v>90.654868983700027</v>
      </c>
      <c r="V570">
        <v>100</v>
      </c>
    </row>
    <row r="571" spans="1:22" x14ac:dyDescent="0.25">
      <c r="C571">
        <f>0.5*(D570+D572)*EXP(-C42*0.5)</f>
        <v>54.571819612551572</v>
      </c>
      <c r="E571">
        <f>0.5*(F570+F572)*EXP(-E42*0.5)</f>
        <v>57.045209451115369</v>
      </c>
      <c r="G571">
        <f>0.5*(H570+H572)*EXP(-G42*0.5)</f>
        <v>59.928547802484971</v>
      </c>
      <c r="I571">
        <f>0.5*(J570+J572)*EXP(-I42*0.5)</f>
        <v>63.700850324054564</v>
      </c>
      <c r="K571">
        <f>0.5*(L570+L572)*EXP(-K42*0.5)</f>
        <v>68.158891084616897</v>
      </c>
      <c r="M571">
        <f>0.5*(N570+N572)*EXP(-M42*0.5)</f>
        <v>73.501554573766043</v>
      </c>
      <c r="O571">
        <f>0.5*(P570+P572)*EXP(-O42*0.5)</f>
        <v>78.775949696472978</v>
      </c>
      <c r="Q571">
        <f>0.5*(R570+R572)*EXP(-Q42*0.5)</f>
        <v>83.358782157008235</v>
      </c>
      <c r="S571">
        <f>0.5*(T570+T572)*EXP(-S42*0.5)</f>
        <v>89.52866928763514</v>
      </c>
      <c r="U571">
        <f>0.5*(V570+V572)*EXP(-U42*0.5)</f>
        <v>96.358668805576428</v>
      </c>
    </row>
    <row r="572" spans="1:22" x14ac:dyDescent="0.25">
      <c r="B572">
        <f>0.5*(C571+C573)*EXP(-B43*0.5)</f>
        <v>62.275528242076405</v>
      </c>
      <c r="D572">
        <f>0.5*(E571+E573)*EXP(-D43*0.5)</f>
        <v>64.506077216014788</v>
      </c>
      <c r="F572">
        <f>0.5*(G571+G573)*EXP(-F43*0.5)</f>
        <v>67.146965604124489</v>
      </c>
      <c r="H572">
        <f>0.5*(I571+I573)*EXP(-H43*0.5)</f>
        <v>70.252112963669433</v>
      </c>
      <c r="J572">
        <f>0.5*(K571+K573)*EXP(-J43*0.5)</f>
        <v>73.817189008885805</v>
      </c>
      <c r="L572">
        <f>0.5*(M571+M573)*EXP(-L43*0.5)</f>
        <v>77.727600684188204</v>
      </c>
      <c r="N572">
        <f>0.5*(O571+O573)*EXP(-N43*0.5)</f>
        <v>82.102928853300497</v>
      </c>
      <c r="P572">
        <f>0.5*(Q571+Q573)*EXP(-P43*0.5)</f>
        <v>85.592227944554963</v>
      </c>
      <c r="R572">
        <f>0.5*(S571+S573)*EXP(-R43*0.5)</f>
        <v>90.32531654095024</v>
      </c>
      <c r="T572">
        <f>0.5*(U571+U573)*EXP(-T43*0.5)</f>
        <v>94.577713764799185</v>
      </c>
      <c r="V572">
        <v>100</v>
      </c>
    </row>
    <row r="573" spans="1:22" x14ac:dyDescent="0.25">
      <c r="A573">
        <f>0.5*(B572+B574)*EXP(-A44*0.5)</f>
        <v>69.246333624914698</v>
      </c>
      <c r="C573">
        <f>0.5*(D572+D574)*EXP(-C44*0.5)</f>
        <v>71.070377362120212</v>
      </c>
      <c r="E573">
        <f>0.5*(F572+F574)*EXP(-E44*0.5)</f>
        <v>73.508072237635119</v>
      </c>
      <c r="G573">
        <f>0.5*(H572+H574)*EXP(-G44*0.5)</f>
        <v>76.054718074304674</v>
      </c>
      <c r="I573">
        <f>0.5*(J572+J574)*EXP(-I44*0.5)</f>
        <v>78.953371506366437</v>
      </c>
      <c r="K573">
        <f>0.5*(L572+L574)*EXP(-K44*0.5)</f>
        <v>81.977959752416382</v>
      </c>
      <c r="M573">
        <f>0.5*(N572+N574)*EXP(-M44*0.5)</f>
        <v>85.066242237114707</v>
      </c>
      <c r="O573">
        <f>0.5*(P572+P574)*EXP(-O44*0.5)</f>
        <v>87.800048279446997</v>
      </c>
      <c r="Q573">
        <f>0.5*(R572+R574)*EXP(-Q44*0.5)</f>
        <v>90.319545584319982</v>
      </c>
      <c r="S573">
        <f>0.5*(T572+T574)*EXP(-S44*0.5)</f>
        <v>93.904202014989608</v>
      </c>
      <c r="U573">
        <f>0.5*(V572+V574)*EXP(-U44*0.5)</f>
        <v>97.915273644990592</v>
      </c>
    </row>
    <row r="574" spans="1:22" x14ac:dyDescent="0.25">
      <c r="B574">
        <f>0.5*(C573+C575)*EXP(-B45*0.5)</f>
        <v>76.674919732437232</v>
      </c>
      <c r="D574">
        <f>0.5*(E573+E575)*EXP(-D45*0.5)</f>
        <v>78.673660220199267</v>
      </c>
      <c r="F574">
        <f>0.5*(G573+G575)*EXP(-F45*0.5)</f>
        <v>80.829363315907329</v>
      </c>
      <c r="H574">
        <f>0.5*(I573+I575)*EXP(-H45*0.5)</f>
        <v>83.103375446422561</v>
      </c>
      <c r="J574">
        <f>0.5*(K573+K575)*EXP(-J45*0.5)</f>
        <v>85.407149670483776</v>
      </c>
      <c r="L574">
        <f>0.5*(M573+M575)*EXP(-L45*0.5)</f>
        <v>87.724397515025103</v>
      </c>
      <c r="N574">
        <f>0.5*(O573+O575)*EXP(-N45*0.5)</f>
        <v>89.946203805229018</v>
      </c>
      <c r="P574">
        <f>0.5*(Q573+Q575)*EXP(-P45*0.5)</f>
        <v>91.679812774952808</v>
      </c>
      <c r="R574">
        <f>0.5*(S573+S575)*EXP(-R45*0.5)</f>
        <v>94.418657952183779</v>
      </c>
      <c r="T574">
        <f>0.5*(U573+U575)*EXP(-T45*0.5)</f>
        <v>96.882499536011721</v>
      </c>
      <c r="V574">
        <v>100</v>
      </c>
    </row>
    <row r="575" spans="1:22" x14ac:dyDescent="0.25">
      <c r="C575">
        <f>0.5*(D574+D576)*EXP(-C46*0.5)</f>
        <v>82.99907082278807</v>
      </c>
      <c r="E575">
        <f>0.5*(F574+F576)*EXP(-E46*0.5)</f>
        <v>84.845321508807189</v>
      </c>
      <c r="G575">
        <f>0.5*(H574+H576)*EXP(-G46*0.5)</f>
        <v>86.603520286309703</v>
      </c>
      <c r="I575">
        <f>0.5*(J574+J576)*EXP(-I46*0.5)</f>
        <v>88.416993314538772</v>
      </c>
      <c r="K575">
        <f>0.5*(L574+L576)*EXP(-K46*0.5)</f>
        <v>90.160458904995039</v>
      </c>
      <c r="M575">
        <f>0.5*(N574+N576)*EXP(-M46*0.5)</f>
        <v>91.775238000981204</v>
      </c>
      <c r="O575">
        <f>0.5*(P574+P576)*EXP(-O46*0.5)</f>
        <v>93.123466933739991</v>
      </c>
      <c r="Q575">
        <f>0.5*(R574+R576)*EXP(-Q46*0.5)</f>
        <v>94.469021403376374</v>
      </c>
      <c r="S575">
        <f>0.5*(T574+T576)*EXP(-S46*0.5)</f>
        <v>96.488580977899929</v>
      </c>
      <c r="U575">
        <f>0.5*(V574+V576)*EXP(-U46*0.5)</f>
        <v>98.810550604032159</v>
      </c>
    </row>
    <row r="576" spans="1:22" x14ac:dyDescent="0.25">
      <c r="D576">
        <f>0.5*(E575+E577)*EXP(-D47*0.5)</f>
        <v>87.974638462345553</v>
      </c>
      <c r="F576">
        <f>0.5*(G575+G577)*EXP(-F47*0.5)</f>
        <v>89.406833782891511</v>
      </c>
      <c r="H576">
        <f>0.5*(I575+I577)*EXP(-H47*0.5)</f>
        <v>90.801823563221106</v>
      </c>
      <c r="J576">
        <f>0.5*(K575+K577)*EXP(-J47*0.5)</f>
        <v>92.103183659633785</v>
      </c>
      <c r="L576">
        <f>0.5*(M575+M577)*EXP(-L47*0.5)</f>
        <v>93.350577111010779</v>
      </c>
      <c r="N576">
        <f>0.5*(O575+O577)*EXP(-N47*0.5)</f>
        <v>94.426185367738555</v>
      </c>
      <c r="P576">
        <f>0.5*(Q575+Q577)*EXP(-P47*0.5)</f>
        <v>95.272344531678897</v>
      </c>
      <c r="R576">
        <f>0.5*(S575+S577)*EXP(-R47*0.5)</f>
        <v>96.81183930347612</v>
      </c>
      <c r="T576">
        <f>0.5*(U575+U577)*EXP(-T47*0.5)</f>
        <v>98.216996802897526</v>
      </c>
      <c r="V576">
        <v>100</v>
      </c>
    </row>
    <row r="577" spans="5:22" x14ac:dyDescent="0.25">
      <c r="E577">
        <f>0.5*(F576+F578)*EXP(-E48*0.5)</f>
        <v>91.706896475209405</v>
      </c>
      <c r="G577">
        <f>0.5*(H576+H578)*EXP(-G48*0.5)</f>
        <v>92.754421902435737</v>
      </c>
      <c r="I577">
        <f>0.5*(J576+J578)*EXP(-I48*0.5)</f>
        <v>93.769646514292646</v>
      </c>
      <c r="K577">
        <f>0.5*(L576+L578)*EXP(-K48*0.5)</f>
        <v>94.700542164848443</v>
      </c>
      <c r="M577">
        <f>0.5*(N576+N578)*EXP(-M48*0.5)</f>
        <v>95.515567985121663</v>
      </c>
      <c r="O577">
        <f>0.5*(P576+P578)*EXP(-O48*0.5)</f>
        <v>96.159873421590092</v>
      </c>
      <c r="Q577">
        <f>0.5*(R576+R578)*EXP(-Q48*0.5)</f>
        <v>96.871248706998415</v>
      </c>
      <c r="S577">
        <f>0.5*(T576+T578)*EXP(-S48*0.5)</f>
        <v>97.989503207775684</v>
      </c>
      <c r="U577">
        <f>0.5*(V576+V578)*EXP(-U48*0.5)</f>
        <v>99.322681887330816</v>
      </c>
    </row>
    <row r="578" spans="5:22" x14ac:dyDescent="0.25">
      <c r="F578">
        <f>0.5*(G577+G579)*EXP(-F49*0.5)</f>
        <v>94.297472380975961</v>
      </c>
      <c r="H578">
        <f>0.5*(I577+I579)*EXP(-H49*0.5)</f>
        <v>95.075333511847148</v>
      </c>
      <c r="J578">
        <f>0.5*(K577+K579)*EXP(-J49*0.5)</f>
        <v>95.765299010047116</v>
      </c>
      <c r="L578">
        <f>0.5*(M577+M579)*EXP(-L49*0.5)</f>
        <v>96.413960342865252</v>
      </c>
      <c r="N578">
        <f>0.5*(O577+O579)*EXP(-N49*0.5)</f>
        <v>96.945649431341565</v>
      </c>
      <c r="P578">
        <f>0.5*(Q577+Q579)*EXP(-P49*0.5)</f>
        <v>97.337501773296793</v>
      </c>
      <c r="R578">
        <f>0.5*(S577+S579)*EXP(-R49*0.5)</f>
        <v>98.188859668065163</v>
      </c>
      <c r="T578">
        <f>0.5*(U577+U579)*EXP(-T49*0.5)</f>
        <v>98.983291392461709</v>
      </c>
      <c r="V578">
        <v>100</v>
      </c>
    </row>
    <row r="579" spans="5:22" x14ac:dyDescent="0.25">
      <c r="G579">
        <f>0.5*(H578+H580)*EXP(-G50*0.5)</f>
        <v>96.123349558471332</v>
      </c>
      <c r="I579">
        <f>0.5*(J578+J580)*EXP(-I50*0.5)</f>
        <v>96.661213963406894</v>
      </c>
      <c r="K579">
        <f>0.5*(L578+L580)*EXP(-K50*0.5)</f>
        <v>97.142457616352445</v>
      </c>
      <c r="M579">
        <f>0.5*(N578+N580)*EXP(-M50*0.5)</f>
        <v>97.555005803046228</v>
      </c>
      <c r="O579">
        <f>0.5*(P578+P580)*EXP(-O50*0.5)</f>
        <v>97.907771014575459</v>
      </c>
      <c r="Q579">
        <f>0.5*(R578+R580)*EXP(-Q50*0.5)</f>
        <v>98.239604752346224</v>
      </c>
      <c r="S579">
        <f>0.5*(T578+T580)*EXP(-S50*0.5)</f>
        <v>98.852852646682862</v>
      </c>
      <c r="U579">
        <f>0.5*(V578+V580)*EXP(-U50*0.5)</f>
        <v>99.614738492699516</v>
      </c>
    </row>
    <row r="580" spans="5:22" x14ac:dyDescent="0.25">
      <c r="H580">
        <f>0.5*(I579+I581)*EXP(-H51*0.5)</f>
        <v>97.359470709503256</v>
      </c>
      <c r="J580">
        <f>0.5*(K579+K581)*EXP(-J51*0.5)</f>
        <v>97.712950922763923</v>
      </c>
      <c r="L580">
        <f>0.5*(M579+M581)*EXP(-L51*0.5)</f>
        <v>98.042144745261282</v>
      </c>
      <c r="N580">
        <f>0.5*(O579+O581)*EXP(-N51*0.5)</f>
        <v>98.30306745327141</v>
      </c>
      <c r="P580">
        <f>0.5*(Q579+Q581)*EXP(-P51*0.5)</f>
        <v>98.486035516779822</v>
      </c>
      <c r="R580">
        <f>0.5*(S579+S581)*EXP(-R51*0.5)</f>
        <v>98.974181699891687</v>
      </c>
      <c r="T580">
        <f>0.5*(U579+U581)*EXP(-T51*0.5)</f>
        <v>99.421238633832104</v>
      </c>
      <c r="V580">
        <v>100</v>
      </c>
    </row>
    <row r="581" spans="5:22" x14ac:dyDescent="0.25">
      <c r="I581">
        <f>0.5*(J580+J582)*EXP(-I52*0.5)</f>
        <v>98.189490439127269</v>
      </c>
      <c r="K581">
        <f>0.5*(L580+L582)*EXP(-K52*0.5)</f>
        <v>98.429818333860126</v>
      </c>
      <c r="M581">
        <f>0.5*(N580+N582)*EXP(-M52*0.5)</f>
        <v>98.627656176046784</v>
      </c>
      <c r="O581">
        <f>0.5*(P580+P582)*EXP(-O52*0.5)</f>
        <v>98.769659748849392</v>
      </c>
      <c r="Q581">
        <f>0.5*(R580+R582)*EXP(-Q52*0.5)</f>
        <v>98.969039158626373</v>
      </c>
      <c r="S581">
        <f>0.5*(T580+T582)*EXP(-S52*0.5)</f>
        <v>99.34675373308373</v>
      </c>
      <c r="U581">
        <f>0.5*(V580+V582)*EXP(-U52*0.5)</f>
        <v>99.781000320480146</v>
      </c>
    </row>
    <row r="582" spans="5:22" x14ac:dyDescent="0.25">
      <c r="J582">
        <f>0.5*(K581+K583)*EXP(-J53*0.5)</f>
        <v>98.738731819131246</v>
      </c>
      <c r="L582">
        <f>0.5*(M581+M583)*EXP(-L53*0.5)</f>
        <v>98.897161097494504</v>
      </c>
      <c r="N582">
        <f>0.5*(O581+O583)*EXP(-N53*0.5)</f>
        <v>99.00815998220834</v>
      </c>
      <c r="P582">
        <f>0.5*(Q581+Q583)*EXP(-P53*0.5)</f>
        <v>99.100649180204243</v>
      </c>
      <c r="R582">
        <f>0.5*(S581+S583)*EXP(-R53*0.5)</f>
        <v>99.333360119006258</v>
      </c>
      <c r="T582">
        <f>0.5*(U581+U583)*EXP(-T53*0.5)</f>
        <v>99.670859925364169</v>
      </c>
      <c r="V582">
        <v>100</v>
      </c>
    </row>
    <row r="583" spans="5:22" x14ac:dyDescent="0.25">
      <c r="K583">
        <f>0.5*(L582+L584)*EXP(-K54*0.5)</f>
        <v>99.115582863322544</v>
      </c>
      <c r="M583">
        <f>0.5*(N582+N584)*EXP(-M54*0.5)</f>
        <v>99.206235315168982</v>
      </c>
      <c r="O583">
        <f>0.5*(P582+P584)*EXP(-O54*0.5)</f>
        <v>99.275295437530801</v>
      </c>
      <c r="Q583">
        <f>0.5*(R582+R584)*EXP(-Q54*0.5)</f>
        <v>99.359992637050127</v>
      </c>
      <c r="S583">
        <f>0.5*(T582+T584)*EXP(-S54*0.5)</f>
        <v>99.455266637002723</v>
      </c>
      <c r="U583">
        <f>0.5*(V582+V584)*EXP(-U54*0.5)</f>
        <v>99.875555698795822</v>
      </c>
    </row>
    <row r="584" spans="5:22" x14ac:dyDescent="0.25">
      <c r="L584">
        <f>0.5*(M583+M585)*EXP(-L55*0.5)</f>
        <v>99.370856214299764</v>
      </c>
      <c r="N584">
        <f>0.5*(O583+O585)*EXP(-N55*0.5)</f>
        <v>99.426739748129208</v>
      </c>
      <c r="P584">
        <f>0.5*(Q583+Q585)*EXP(-P55*0.5)</f>
        <v>99.468927312393618</v>
      </c>
      <c r="R584">
        <f>0.5*(S583+S585)*EXP(-R55*0.5)</f>
        <v>99.585626141133133</v>
      </c>
      <c r="T584">
        <f>0.5*(U583+U585)*EXP(-T55*0.5)</f>
        <v>99.812922230547514</v>
      </c>
      <c r="V584">
        <v>100</v>
      </c>
    </row>
    <row r="585" spans="5:22" x14ac:dyDescent="0.25">
      <c r="M585">
        <f>0.5*(N584+N586)*EXP(-M56*0.5)</f>
        <v>99.551332854485651</v>
      </c>
      <c r="O585">
        <f>0.5*(P584+P586)*EXP(-O56*0.5)</f>
        <v>99.589652213897168</v>
      </c>
      <c r="Q585">
        <f>0.5*(R584+R586)*EXP(-Q56*0.5)</f>
        <v>99.646665288878765</v>
      </c>
      <c r="S585">
        <f>0.5*(T584+T586)*EXP(-S56*0.5)</f>
        <v>99.788778702220668</v>
      </c>
      <c r="U585">
        <f>0.5*(V584+V586)*EXP(-U56*0.5)</f>
        <v>99.929300274347511</v>
      </c>
    </row>
    <row r="586" spans="5:22" x14ac:dyDescent="0.25">
      <c r="N586">
        <f>0.5*(O585+O587)*EXP(-N57*0.5)</f>
        <v>99.684902001575523</v>
      </c>
      <c r="P586">
        <f>0.5*(Q585+Q587)*EXP(-P57*0.5)</f>
        <v>99.717972754124418</v>
      </c>
      <c r="R586">
        <f>0.5*(S585+S587)*EXP(-R57*0.5)</f>
        <v>99.814798371327967</v>
      </c>
      <c r="T586">
        <f>0.5*(U585+U587)*EXP(-T57*0.5)</f>
        <v>99.893701454827422</v>
      </c>
      <c r="V586">
        <v>100</v>
      </c>
    </row>
    <row r="587" spans="5:22" x14ac:dyDescent="0.25">
      <c r="O587">
        <f>0.5*(P586+P588)*EXP(-O58*0.5)</f>
        <v>99.78473734411358</v>
      </c>
      <c r="Q587">
        <f>0.5*(R586+R588)*EXP(-Q58*0.5)</f>
        <v>99.826298740003935</v>
      </c>
      <c r="S587">
        <f>0.5*(T586+T588)*EXP(-S58*0.5)</f>
        <v>99.879975108980673</v>
      </c>
      <c r="U587">
        <f>0.5*(V586+V588)*EXP(-U58*0.5)</f>
        <v>99.959838494225011</v>
      </c>
    </row>
    <row r="588" spans="5:22" x14ac:dyDescent="0.25">
      <c r="P588">
        <f>0.5*(Q587+Q589)*EXP(-P59*0.5)</f>
        <v>99.854537140657129</v>
      </c>
      <c r="R588">
        <f>0.5*(S587+S589)*EXP(-R59*0.5)</f>
        <v>99.895376522984549</v>
      </c>
      <c r="T588">
        <f>0.5*(U587+U589)*EXP(-T59*0.5)</f>
        <v>99.93961139058662</v>
      </c>
      <c r="V588">
        <v>100</v>
      </c>
    </row>
    <row r="589" spans="5:22" x14ac:dyDescent="0.25">
      <c r="Q589">
        <f>0.5*(R588+R590)*EXP(-Q60*0.5)</f>
        <v>99.902670970590236</v>
      </c>
      <c r="S589">
        <f>0.5*(T588+T590)*EXP(-S60*0.5)</f>
        <v>99.931810858157775</v>
      </c>
      <c r="U589">
        <f>0.5*(V588+V590)*EXP(-U60*0.5)</f>
        <v>99.977187463036685</v>
      </c>
    </row>
    <row r="590" spans="5:22" x14ac:dyDescent="0.25">
      <c r="R590">
        <f>0.5*(S589+S591)*EXP(-R61*0.5)</f>
        <v>99.940890752989745</v>
      </c>
      <c r="T590">
        <f>0.5*(U589+U591)*EXP(-T61*0.5)</f>
        <v>99.965696474849594</v>
      </c>
      <c r="V590">
        <v>100</v>
      </c>
    </row>
    <row r="591" spans="5:22" x14ac:dyDescent="0.25">
      <c r="S591">
        <f>0.5*(T590+T592)*EXP(-S62*0.5)</f>
        <v>99.961264589245431</v>
      </c>
      <c r="U591">
        <f>0.5*(V590+V592)*EXP(-U62*0.5)</f>
        <v>99.987042509353913</v>
      </c>
    </row>
    <row r="592" spans="5:22" x14ac:dyDescent="0.25">
      <c r="T592">
        <f>0.5*(U591+U593)*EXP(-T63*0.5)</f>
        <v>99.980515131024973</v>
      </c>
      <c r="V592">
        <v>100</v>
      </c>
    </row>
    <row r="593" spans="13:26" x14ac:dyDescent="0.25">
      <c r="U593">
        <f>0.5*(V592+V594)*EXP(-U64*0.5)</f>
        <v>99.992640319249048</v>
      </c>
    </row>
    <row r="594" spans="13:26" x14ac:dyDescent="0.25">
      <c r="V594">
        <v>100</v>
      </c>
    </row>
    <row r="598" spans="13:26" x14ac:dyDescent="0.25">
      <c r="W598">
        <v>100</v>
      </c>
      <c r="Y598">
        <f>0.5*LN(V23/V25)/SQRT(0.5)</f>
        <v>0.39999998516476115</v>
      </c>
      <c r="Z598">
        <f>(C23-Y598)^2*1000000</f>
        <v>2.2008431235048564E-10</v>
      </c>
    </row>
    <row r="599" spans="13:26" x14ac:dyDescent="0.25">
      <c r="V599">
        <f>0.5*(W598+W600)*EXP(-V23*0.5)</f>
        <v>0.60653194963000501</v>
      </c>
      <c r="Z599">
        <f>(D23-A620)^2*10000</f>
        <v>7.6961042707082872E-11</v>
      </c>
    </row>
    <row r="600" spans="13:26" x14ac:dyDescent="0.25">
      <c r="U600">
        <f>0.5*(V599+V601)*EXP(-U24*0.5)</f>
        <v>7.3461323683870639E-3</v>
      </c>
      <c r="W600">
        <v>100</v>
      </c>
      <c r="Z600">
        <f>Z598+Z599</f>
        <v>2.9704535505756852E-10</v>
      </c>
    </row>
    <row r="601" spans="13:26" x14ac:dyDescent="0.25">
      <c r="T601">
        <f>0.5*(U600+U602)*EXP(-T25*0.5)</f>
        <v>2.6725908352794535E-3</v>
      </c>
      <c r="V601">
        <f t="shared" ref="V601" si="324">0.5*(W600+W602)*EXP(-V25*0.5)</f>
        <v>5.5046004473457755</v>
      </c>
    </row>
    <row r="602" spans="13:26" x14ac:dyDescent="0.25">
      <c r="S602">
        <f>0.5*(T601+T603)*EXP(-S26*0.5)</f>
        <v>4.311655215331338E-3</v>
      </c>
      <c r="U602">
        <f t="shared" ref="U602" si="325">0.5*(V601+V603)*EXP(-U26*0.5)</f>
        <v>0.40304651569322797</v>
      </c>
      <c r="W602">
        <v>100</v>
      </c>
    </row>
    <row r="603" spans="13:26" x14ac:dyDescent="0.25">
      <c r="R603">
        <f>0.5*(S602+S604)*EXP(-R27*0.5)</f>
        <v>1.2682639212783451E-2</v>
      </c>
      <c r="T603">
        <f t="shared" ref="T603" si="326">0.5*(U602+U604)*EXP(-T27*0.5)</f>
        <v>0.19475620378098368</v>
      </c>
      <c r="V603">
        <f t="shared" ref="V603" si="327">0.5*(W602+W604)*EXP(-V27*0.5)</f>
        <v>19.265004802854747</v>
      </c>
    </row>
    <row r="604" spans="13:26" x14ac:dyDescent="0.25">
      <c r="Q604">
        <f>0.5*(R603+R605)*EXP(-Q28*0.5)</f>
        <v>8.4227915852893749E-3</v>
      </c>
      <c r="S604">
        <f t="shared" ref="S604" si="328">0.5*(T603+T605)*EXP(-S28*0.5)</f>
        <v>0.22900722594550327</v>
      </c>
      <c r="U604">
        <f t="shared" ref="U604" si="329">0.5*(V603+V605)*EXP(-U28*0.5)</f>
        <v>4.1813328654539017</v>
      </c>
      <c r="W604">
        <v>100</v>
      </c>
    </row>
    <row r="605" spans="13:26" x14ac:dyDescent="0.25">
      <c r="P605">
        <f>0.5*(Q604+Q606)*EXP(-P29*0.5)</f>
        <v>5.9347374754880347E-2</v>
      </c>
      <c r="R605">
        <f t="shared" ref="R605" si="330">0.5*(S604+S606)*EXP(-R29*0.5)</f>
        <v>0.42715979709596424</v>
      </c>
      <c r="T605">
        <f t="shared" ref="T605" si="331">0.5*(U604+U606)*EXP(-T29*0.5)</f>
        <v>2.516495327542247</v>
      </c>
      <c r="V605">
        <f t="shared" ref="V605" si="332">0.5*(W604+W606)*EXP(-V29*0.5)</f>
        <v>39.243686731108127</v>
      </c>
    </row>
    <row r="606" spans="13:26" x14ac:dyDescent="0.25">
      <c r="O606">
        <f>0.5*(P605+P607)*EXP(-O30*0.5)</f>
        <v>1.5042135406102412E-3</v>
      </c>
      <c r="Q606">
        <f t="shared" ref="Q606" si="333">0.5*(R605+R607)*EXP(-Q30*0.5)</f>
        <v>0.35794467099355981</v>
      </c>
      <c r="S606">
        <f t="shared" ref="S606" si="334">0.5*(T605+T607)*EXP(-S30*0.5)</f>
        <v>2.582090470740078</v>
      </c>
      <c r="U606">
        <f t="shared" ref="U606" si="335">0.5*(V605+V607)*EXP(-U30*0.5)</f>
        <v>16.23538389390713</v>
      </c>
      <c r="W606">
        <v>100</v>
      </c>
    </row>
    <row r="607" spans="13:26" x14ac:dyDescent="0.25">
      <c r="N607">
        <f>0.5*(O606+O608)*EXP(-N31*0.5)</f>
        <v>4.9317481943134739E-3</v>
      </c>
      <c r="P607">
        <f t="shared" ref="P607" si="336">0.5*(Q606+Q608)*EXP(-P31*0.5)</f>
        <v>1.0438141829233585</v>
      </c>
      <c r="R607">
        <f t="shared" ref="R607" si="337">0.5*(S606+S608)*EXP(-R31*0.5)</f>
        <v>3.6966308900177567</v>
      </c>
      <c r="T607">
        <f t="shared" ref="T607" si="338">0.5*(U606+U608)*EXP(-T31*0.5)</f>
        <v>11.662321299776542</v>
      </c>
      <c r="V607">
        <f t="shared" ref="V607" si="339">0.5*(W606+W608)*EXP(-V31*0.5)</f>
        <v>58.785895643054317</v>
      </c>
    </row>
    <row r="608" spans="13:26" x14ac:dyDescent="0.25">
      <c r="M608">
        <f>0.5*(N607+N609)*EXP(-M32*0.5)</f>
        <v>1.9959584220748262E-2</v>
      </c>
      <c r="O608">
        <f t="shared" ref="O608" si="340">0.5*(P607+P609)*EXP(-O32*0.5)</f>
        <v>0.34573117191651265</v>
      </c>
      <c r="Q608">
        <f t="shared" ref="Q608" si="341">0.5*(R607+R609)*EXP(-Q32*0.5)</f>
        <v>3.4648089760216996</v>
      </c>
      <c r="S608">
        <f t="shared" ref="S608" si="342">0.5*(T607+T609)*EXP(-S32*0.5)</f>
        <v>11.428759264160901</v>
      </c>
      <c r="U608">
        <f t="shared" ref="U608" si="343">0.5*(V607+V609)*EXP(-U32*0.5)</f>
        <v>35.43383248032557</v>
      </c>
      <c r="W608">
        <v>100</v>
      </c>
    </row>
    <row r="609" spans="1:23" x14ac:dyDescent="0.25">
      <c r="L609">
        <f>0.5*(M608+M610)*EXP(-L33*0.5)</f>
        <v>8.9483153643316188E-2</v>
      </c>
      <c r="N609">
        <f t="shared" ref="N609" si="344">0.5*(O608+O610)*EXP(-N33*0.5)</f>
        <v>0.64099479102978385</v>
      </c>
      <c r="P609">
        <f t="shared" ref="P609" si="345">0.5*(Q608+Q610)*EXP(-P33*0.5)</f>
        <v>6.2418215262268255</v>
      </c>
      <c r="R609">
        <f t="shared" ref="R609" si="346">0.5*(S608+S610)*EXP(-R33*0.5)</f>
        <v>14.039915852712037</v>
      </c>
      <c r="T609">
        <f t="shared" ref="T609" si="347">0.5*(U608+U610)*EXP(-T33*0.5)</f>
        <v>28.903751477139682</v>
      </c>
      <c r="V609">
        <f t="shared" ref="V609" si="348">0.5*(W608+W610)*EXP(-V33*0.5)</f>
        <v>73.952676721211091</v>
      </c>
    </row>
    <row r="610" spans="1:23" x14ac:dyDescent="0.25">
      <c r="K610">
        <f>0.5*(L609+L611)*EXP(-K34*0.5)</f>
        <v>0.85554622825968274</v>
      </c>
      <c r="M610">
        <f t="shared" ref="M610" si="349">0.5*(N609+N611)*EXP(-M34*0.5)</f>
        <v>1.2566447160390524</v>
      </c>
      <c r="O610">
        <f t="shared" ref="O610" si="350">0.5*(P609+P611)*EXP(-O34*0.5)</f>
        <v>4.9594552475923663</v>
      </c>
      <c r="Q610">
        <f t="shared" ref="Q610" si="351">0.5*(R609+R611)*EXP(-Q34*0.5)</f>
        <v>13.807627266188369</v>
      </c>
      <c r="S610">
        <f t="shared" ref="S610" si="352">0.5*(T609+T611)*EXP(-S34*0.5)</f>
        <v>28.144968110904731</v>
      </c>
      <c r="U610">
        <f t="shared" ref="U610" si="353">0.5*(V609+V611)*EXP(-U34*0.5)</f>
        <v>55.383939294186291</v>
      </c>
      <c r="W610">
        <v>100</v>
      </c>
    </row>
    <row r="611" spans="1:23" x14ac:dyDescent="0.25">
      <c r="J611">
        <f>0.5*(K610+K612)*EXP(-J35*0.5)</f>
        <v>2.690561432877332</v>
      </c>
      <c r="L611">
        <f t="shared" ref="L611" si="354">0.5*(M610+M612)*EXP(-L35*0.5)</f>
        <v>2.5776636613332036</v>
      </c>
      <c r="N611">
        <f t="shared" ref="N611" si="355">0.5*(O610+O612)*EXP(-N35*0.5)</f>
        <v>6.9871604261705498</v>
      </c>
      <c r="P611">
        <f t="shared" ref="P611" si="356">0.5*(Q610+Q612)*EXP(-P35*0.5)</f>
        <v>19.129244996405493</v>
      </c>
      <c r="R611">
        <f t="shared" ref="R611" si="357">0.5*(S610+S612)*EXP(-R35*0.5)</f>
        <v>31.692304912221626</v>
      </c>
      <c r="T611">
        <f t="shared" ref="T611" si="358">0.5*(U610+U612)*EXP(-T35*0.5)</f>
        <v>49.06696616630007</v>
      </c>
      <c r="V611">
        <f t="shared" ref="V611" si="359">0.5*(W610+W612)*EXP(-V35*0.5)</f>
        <v>84.249949755106385</v>
      </c>
    </row>
    <row r="612" spans="1:23" x14ac:dyDescent="0.25">
      <c r="I612">
        <f>0.5*(J611+J613)*EXP(-I36*0.5)</f>
        <v>6.3908302948416535</v>
      </c>
      <c r="K612">
        <f t="shared" ref="K612" si="360">0.5*(L611+L613)*EXP(-K36*0.5)</f>
        <v>6.9922928855920912</v>
      </c>
      <c r="M612">
        <f t="shared" ref="M612" si="361">0.5*(N611+N613)*EXP(-M36*0.5)</f>
        <v>10.030006377407947</v>
      </c>
      <c r="O612">
        <f t="shared" ref="O612" si="362">0.5*(P611+P613)*EXP(-O36*0.5)</f>
        <v>19.662973173855665</v>
      </c>
      <c r="Q612">
        <f t="shared" ref="Q612" si="363">0.5*(R611+R613)*EXP(-Q36*0.5)</f>
        <v>31.734551389850576</v>
      </c>
      <c r="S612">
        <f t="shared" ref="S612" si="364">0.5*(T611+T613)*EXP(-S36*0.5)</f>
        <v>48.056580649205287</v>
      </c>
      <c r="U612">
        <f t="shared" ref="U612" si="365">0.5*(V611+V613)*EXP(-U36*0.5)</f>
        <v>71.453493045971115</v>
      </c>
      <c r="W612">
        <v>100</v>
      </c>
    </row>
    <row r="613" spans="1:23" x14ac:dyDescent="0.25">
      <c r="H613">
        <f>0.5*(I612+I614)*EXP(-H37*0.5)</f>
        <v>11.479634980514371</v>
      </c>
      <c r="J613">
        <f t="shared" ref="J613" si="366">0.5*(K612+K614)*EXP(-J37*0.5)</f>
        <v>12.712333578939946</v>
      </c>
      <c r="L613">
        <f t="shared" ref="L613" si="367">0.5*(M612+M614)*EXP(-L37*0.5)</f>
        <v>14.570245611838949</v>
      </c>
      <c r="N613">
        <f t="shared" ref="N613" si="368">0.5*(O612+O614)*EXP(-N37*0.5)</f>
        <v>24.247316073554963</v>
      </c>
      <c r="P613">
        <f t="shared" ref="P613" si="369">0.5*(Q612+Q614)*EXP(-P37*0.5)</f>
        <v>38.064505564569934</v>
      </c>
      <c r="R613">
        <f t="shared" ref="R613" si="370">0.5*(S612+S614)*EXP(-R37*0.5)</f>
        <v>51.512119765862003</v>
      </c>
      <c r="T613">
        <f t="shared" ref="T613" si="371">0.5*(U612+U614)*EXP(-T37*0.5)</f>
        <v>66.584507761952224</v>
      </c>
      <c r="V613">
        <f t="shared" ref="V613" si="372">0.5*(W612+W614)*EXP(-V37*0.5)</f>
        <v>90.724741726850652</v>
      </c>
    </row>
    <row r="614" spans="1:23" x14ac:dyDescent="0.25">
      <c r="G614">
        <f>0.5*(H613+H615)*EXP(-G38*0.5)</f>
        <v>18.77896117690949</v>
      </c>
      <c r="I614">
        <f t="shared" ref="I614" si="373">0.5*(J613+J615)*EXP(-I38*0.5)</f>
        <v>20.461260747276825</v>
      </c>
      <c r="K614">
        <f t="shared" ref="K614" si="374">0.5*(L613+L615)*EXP(-K38*0.5)</f>
        <v>23.244915877230291</v>
      </c>
      <c r="M614">
        <f t="shared" ref="M614" si="375">0.5*(N613+N615)*EXP(-M38*0.5)</f>
        <v>29.800839763938153</v>
      </c>
      <c r="O614">
        <f t="shared" ref="O614" si="376">0.5*(P613+P615)*EXP(-O38*0.5)</f>
        <v>41.12309859817158</v>
      </c>
      <c r="Q614">
        <f t="shared" ref="Q614" si="377">0.5*(R613+R615)*EXP(-Q38*0.5)</f>
        <v>51.859115320512849</v>
      </c>
      <c r="S614">
        <f t="shared" ref="S614" si="378">0.5*(T613+T615)*EXP(-S38*0.5)</f>
        <v>65.67140581735103</v>
      </c>
      <c r="U614">
        <f t="shared" ref="U614" si="379">0.5*(V613+V615)*EXP(-U38*0.5)</f>
        <v>82.606954020138872</v>
      </c>
      <c r="W614">
        <v>100</v>
      </c>
    </row>
    <row r="615" spans="1:23" x14ac:dyDescent="0.25">
      <c r="F615">
        <f>0.5*(G614+G616)*EXP(-F39*0.5)</f>
        <v>26.978676520935849</v>
      </c>
      <c r="H615">
        <f t="shared" ref="H615" si="380">0.5*(I614+I616)*EXP(-H39*0.5)</f>
        <v>28.723432543152263</v>
      </c>
      <c r="J615">
        <f t="shared" ref="J615" si="381">0.5*(K614+K616)*EXP(-J39*0.5)</f>
        <v>31.871905714869879</v>
      </c>
      <c r="L615">
        <f t="shared" ref="L615" si="382">0.5*(M614+M616)*EXP(-L39*0.5)</f>
        <v>36.485406258474995</v>
      </c>
      <c r="N615">
        <f t="shared" ref="N615" si="383">0.5*(O614+O616)*EXP(-N39*0.5)</f>
        <v>46.86638227905393</v>
      </c>
      <c r="P615">
        <f t="shared" ref="P615" si="384">0.5*(Q614+Q616)*EXP(-P39*0.5)</f>
        <v>57.432982456887139</v>
      </c>
      <c r="R615">
        <f t="shared" ref="R615" si="385">0.5*(S614+S616)*EXP(-R39*0.5)</f>
        <v>68.428549303912959</v>
      </c>
      <c r="T615">
        <f t="shared" ref="T615" si="386">0.5*(U614+U616)*EXP(-T39*0.5)</f>
        <v>79.314777108561856</v>
      </c>
      <c r="V615">
        <f t="shared" ref="V615" si="387">0.5*(W614+W616)*EXP(-V39*0.5)</f>
        <v>94.621419336383482</v>
      </c>
    </row>
    <row r="616" spans="1:23" x14ac:dyDescent="0.25">
      <c r="E616">
        <f>0.5*(F615+F617)*EXP(-E40*0.5)</f>
        <v>35.996806793764542</v>
      </c>
      <c r="G616">
        <f t="shared" ref="G616" si="388">0.5*(H615+H617)*EXP(-G40*0.5)</f>
        <v>38.025412880386611</v>
      </c>
      <c r="I616">
        <f t="shared" ref="I616" si="389">0.5*(J615+J617)*EXP(-I40*0.5)</f>
        <v>41.271434780321023</v>
      </c>
      <c r="K616">
        <f t="shared" ref="K616" si="390">0.5*(L615+L617)*EXP(-K40*0.5)</f>
        <v>45.783066845297263</v>
      </c>
      <c r="M616">
        <f t="shared" ref="M616" si="391">0.5*(N615+N617)*EXP(-M40*0.5)</f>
        <v>52.855918514561161</v>
      </c>
      <c r="O616">
        <f t="shared" ref="O616" si="392">0.5*(P615+P617)*EXP(-O40*0.5)</f>
        <v>61.446833263799817</v>
      </c>
      <c r="Q616">
        <f t="shared" ref="Q616" si="393">0.5*(R615+R617)*EXP(-Q40*0.5)</f>
        <v>68.920928657544991</v>
      </c>
      <c r="S616">
        <f t="shared" ref="S616" si="394">0.5*(T615+T617)*EXP(-S40*0.5)</f>
        <v>78.642502351099992</v>
      </c>
      <c r="U616">
        <f t="shared" ref="U616" si="395">0.5*(V615+V617)*EXP(-U40*0.5)</f>
        <v>89.710713433406909</v>
      </c>
      <c r="W616">
        <v>100</v>
      </c>
    </row>
    <row r="617" spans="1:23" x14ac:dyDescent="0.25">
      <c r="D617">
        <f>0.5*(E616+E618)*EXP(-D41*0.5)</f>
        <v>44.787122058294038</v>
      </c>
      <c r="F617">
        <f t="shared" ref="F617" si="396">0.5*(G616+G618)*EXP(-F41*0.5)</f>
        <v>46.968744769337881</v>
      </c>
      <c r="H617">
        <f t="shared" ref="H617" si="397">0.5*(I616+I618)*EXP(-H41*0.5)</f>
        <v>49.922791020683555</v>
      </c>
      <c r="J617">
        <f t="shared" ref="J617" si="398">0.5*(K616+K618)*EXP(-J41*0.5)</f>
        <v>53.985598326873642</v>
      </c>
      <c r="L617">
        <f t="shared" ref="L617" si="399">0.5*(M616+M618)*EXP(-L41*0.5)</f>
        <v>59.107631459613245</v>
      </c>
      <c r="N617">
        <f t="shared" ref="N617" si="400">0.5*(O616+O618)*EXP(-N41*0.5)</f>
        <v>66.559251892228588</v>
      </c>
      <c r="P617">
        <f t="shared" ref="P617" si="401">0.5*(Q616+Q618)*EXP(-P41*0.5)</f>
        <v>73.004834358862823</v>
      </c>
      <c r="R617">
        <f t="shared" ref="R617" si="402">0.5*(S616+S618)*EXP(-R41*0.5)</f>
        <v>80.595079638092869</v>
      </c>
      <c r="T617">
        <f t="shared" ref="T617" si="403">0.5*(U616+U618)*EXP(-T41*0.5)</f>
        <v>87.64559367658606</v>
      </c>
      <c r="V617">
        <f t="shared" ref="V617" si="404">0.5*(W616+W618)*EXP(-V41*0.5)</f>
        <v>96.908688292908892</v>
      </c>
    </row>
    <row r="618" spans="1:23" x14ac:dyDescent="0.25">
      <c r="C618">
        <f>0.5*(D617+D619)*EXP(-C42*0.5)</f>
        <v>53.230686112969202</v>
      </c>
      <c r="E618">
        <f t="shared" ref="E618" si="405">0.5*(F617+F619)*EXP(-E42*0.5)</f>
        <v>55.581282547153606</v>
      </c>
      <c r="G618">
        <f t="shared" ref="G618" si="406">0.5*(H617+H619)*EXP(-G42*0.5)</f>
        <v>58.324148610470672</v>
      </c>
      <c r="I618">
        <f t="shared" ref="I618" si="407">0.5*(J617+J619)*EXP(-I42*0.5)</f>
        <v>61.929785220914084</v>
      </c>
      <c r="K618">
        <f t="shared" ref="K618" si="408">0.5*(L617+L619)*EXP(-K42*0.5)</f>
        <v>66.211644809944062</v>
      </c>
      <c r="M618">
        <f t="shared" ref="M618" si="409">0.5*(N617+N619)*EXP(-M42*0.5)</f>
        <v>71.384087524932994</v>
      </c>
      <c r="O618">
        <f t="shared" ref="O618" si="410">0.5*(P617+P619)*EXP(-O42*0.5)</f>
        <v>76.541958112407045</v>
      </c>
      <c r="Q618">
        <f t="shared" ref="Q618" si="411">0.5*(R617+R619)*EXP(-Q42*0.5)</f>
        <v>81.076720131054842</v>
      </c>
      <c r="S618">
        <f t="shared" ref="S618" si="412">0.5*(T617+T619)*EXP(-S42*0.5)</f>
        <v>87.2036214021104</v>
      </c>
      <c r="U618">
        <f t="shared" ref="U618" si="413">0.5*(V617+V619)*EXP(-U42*0.5)</f>
        <v>94.017641163433765</v>
      </c>
      <c r="W618">
        <v>100</v>
      </c>
    </row>
    <row r="619" spans="1:23" x14ac:dyDescent="0.25">
      <c r="B619">
        <f>0.5*(C618+C620)*EXP(-B43*0.5)</f>
        <v>60.986963795388782</v>
      </c>
      <c r="D619">
        <f t="shared" ref="D619" si="414">0.5*(E618+E620)*EXP(-D43*0.5)</f>
        <v>63.128672303681618</v>
      </c>
      <c r="F619">
        <f t="shared" ref="F619" si="415">0.5*(G618+G620)*EXP(-F43*0.5)</f>
        <v>65.6712148220589</v>
      </c>
      <c r="H619">
        <f t="shared" ref="H619" si="416">0.5*(I618+I620)*EXP(-H43*0.5)</f>
        <v>68.671656223964064</v>
      </c>
      <c r="J619">
        <f t="shared" ref="J619" si="417">0.5*(K618+K620)*EXP(-J43*0.5)</f>
        <v>72.13465888227762</v>
      </c>
      <c r="L619">
        <f t="shared" ref="L619" si="418">0.5*(M618+M620)*EXP(-L43*0.5)</f>
        <v>75.960015954740513</v>
      </c>
      <c r="N619">
        <f t="shared" ref="N619" si="419">0.5*(O618+O620)*EXP(-N43*0.5)</f>
        <v>80.276032485831038</v>
      </c>
      <c r="P619">
        <f t="shared" ref="P619" si="420">0.5*(Q618+Q620)*EXP(-P43*0.5)</f>
        <v>83.760015293110769</v>
      </c>
      <c r="R619">
        <f t="shared" ref="R619" si="421">0.5*(S618+S620)*EXP(-R43*0.5)</f>
        <v>88.490864013719431</v>
      </c>
      <c r="T619">
        <f t="shared" ref="T619" si="422">0.5*(U618+U620)*EXP(-T43*0.5)</f>
        <v>92.776523013649467</v>
      </c>
      <c r="V619">
        <f t="shared" ref="V619" si="423">0.5*(W618+W620)*EXP(-V43*0.5)</f>
        <v>98.232324609902847</v>
      </c>
    </row>
    <row r="620" spans="1:23" x14ac:dyDescent="0.25">
      <c r="A620">
        <f>0.5*(B619+B621)*EXP(-A44*0.5)</f>
        <v>68.045063708186206</v>
      </c>
      <c r="C620">
        <f t="shared" ref="C620" si="424">0.5*(D619+D621)*EXP(-C44*0.5)</f>
        <v>69.811804803875845</v>
      </c>
      <c r="E620">
        <f t="shared" ref="E620" si="425">0.5*(F619+F621)*EXP(-E44*0.5)</f>
        <v>72.184281467847882</v>
      </c>
      <c r="G620">
        <f t="shared" ref="G620" si="426">0.5*(H619+H621)*EXP(-G44*0.5)</f>
        <v>74.670487636372172</v>
      </c>
      <c r="I620">
        <f t="shared" ref="I620" si="427">0.5*(J619+J621)*EXP(-I44*0.5)</f>
        <v>77.515154826681268</v>
      </c>
      <c r="K620">
        <f t="shared" ref="K620" si="428">0.5*(L619+L621)*EXP(-K44*0.5)</f>
        <v>80.503106404507008</v>
      </c>
      <c r="M620">
        <f t="shared" ref="M620" si="429">0.5*(N619+N621)*EXP(-M44*0.5)</f>
        <v>83.577757040440019</v>
      </c>
      <c r="O620">
        <f t="shared" ref="O620" si="430">0.5*(P619+P621)*EXP(-O44*0.5)</f>
        <v>86.327508441795231</v>
      </c>
      <c r="Q620">
        <f t="shared" ref="Q620" si="431">0.5*(R619+R621)*EXP(-Q44*0.5)</f>
        <v>88.883797745860605</v>
      </c>
      <c r="S620">
        <f t="shared" ref="S620" si="432">0.5*(T619+T621)*EXP(-S44*0.5)</f>
        <v>92.503839271194863</v>
      </c>
      <c r="U620">
        <f t="shared" ref="U620" si="433">0.5*(V619+V621)*EXP(-U44*0.5)</f>
        <v>96.556439930772243</v>
      </c>
      <c r="W620">
        <v>100</v>
      </c>
    </row>
    <row r="621" spans="1:23" x14ac:dyDescent="0.25">
      <c r="B621">
        <f>0.5*(C620+C622)*EXP(-B45*0.5)</f>
        <v>75.553002867986166</v>
      </c>
      <c r="D621">
        <f t="shared" ref="D621" si="434">0.5*(E620+E622)*EXP(-D45*0.5)</f>
        <v>77.515520857655702</v>
      </c>
      <c r="F621">
        <f t="shared" ref="F621" si="435">0.5*(G620+G622)*EXP(-F45*0.5)</f>
        <v>79.640240807076765</v>
      </c>
      <c r="H621">
        <f t="shared" ref="H621" si="436">0.5*(I620+I622)*EXP(-H45*0.5)</f>
        <v>81.892692592738612</v>
      </c>
      <c r="J621">
        <f t="shared" ref="J621" si="437">0.5*(K620+K622)*EXP(-J45*0.5)</f>
        <v>84.189245080608131</v>
      </c>
      <c r="L621">
        <f t="shared" ref="L621" si="438">0.5*(M620+M622)*EXP(-L45*0.5)</f>
        <v>86.515359818160078</v>
      </c>
      <c r="N621">
        <f t="shared" ref="N621" si="439">0.5*(O620+O622)*EXP(-N45*0.5)</f>
        <v>88.762592357517164</v>
      </c>
      <c r="P621">
        <f t="shared" ref="P621" si="440">0.5*(Q620+Q622)*EXP(-P45*0.5)</f>
        <v>90.538904714316388</v>
      </c>
      <c r="R621">
        <f t="shared" ref="R621" si="441">0.5*(S620+S622)*EXP(-R45*0.5)</f>
        <v>93.316362289076508</v>
      </c>
      <c r="T621">
        <f t="shared" ref="T621" si="442">0.5*(U620+U622)*EXP(-T45*0.5)</f>
        <v>95.82850655872025</v>
      </c>
      <c r="V621">
        <f t="shared" ref="V621" si="443">0.5*(W620+W622)*EXP(-V45*0.5)</f>
        <v>98.992145764055266</v>
      </c>
    </row>
    <row r="622" spans="1:23" x14ac:dyDescent="0.25">
      <c r="C622">
        <f t="shared" ref="C622" si="444">0.5*(D621+D623)*EXP(-C46*0.5)</f>
        <v>82.003280248752631</v>
      </c>
      <c r="E622">
        <f t="shared" ref="E622" si="445">0.5*(F621+F623)*EXP(-E46*0.5)</f>
        <v>83.838023347727201</v>
      </c>
      <c r="G622">
        <f t="shared" ref="G622" si="446">0.5*(H621+H623)*EXP(-G46*0.5)</f>
        <v>85.594801373331393</v>
      </c>
      <c r="I622">
        <f t="shared" ref="I622" si="447">0.5*(J621+J623)*EXP(-I46*0.5)</f>
        <v>87.416892298763585</v>
      </c>
      <c r="K622">
        <f t="shared" ref="K622" si="448">0.5*(L621+L623)*EXP(-K46*0.5)</f>
        <v>89.180621152854187</v>
      </c>
      <c r="M622">
        <f t="shared" ref="M622" si="449">0.5*(N621+N623)*EXP(-M46*0.5)</f>
        <v>90.826453498076049</v>
      </c>
      <c r="O622">
        <f t="shared" ref="O622" si="450">0.5*(P621+P623)*EXP(-O46*0.5)</f>
        <v>92.215215423817966</v>
      </c>
      <c r="Q622">
        <f t="shared" ref="Q622" si="451">0.5*(R621+R623)*EXP(-Q46*0.5)</f>
        <v>93.605170680184727</v>
      </c>
      <c r="S622">
        <f t="shared" ref="S622" si="452">0.5*(T621+T623)*EXP(-S46*0.5)</f>
        <v>95.666193011911545</v>
      </c>
      <c r="U622">
        <f t="shared" ref="U622" si="453">0.5*(V621+V623)*EXP(-U46*0.5)</f>
        <v>98.029187293985345</v>
      </c>
      <c r="W622">
        <v>100</v>
      </c>
    </row>
    <row r="623" spans="1:23" x14ac:dyDescent="0.25">
      <c r="D623">
        <f t="shared" ref="D623" si="454">0.5*(E622+E624)*EXP(-D47*0.5)</f>
        <v>87.133396345529704</v>
      </c>
      <c r="F623">
        <f t="shared" ref="F623" si="455">0.5*(G622+G624)*EXP(-F47*0.5)</f>
        <v>88.574883058248972</v>
      </c>
      <c r="H623">
        <f t="shared" ref="H623" si="456">0.5*(I622+I624)*EXP(-H47*0.5)</f>
        <v>89.986936754998169</v>
      </c>
      <c r="J623">
        <f t="shared" ref="J623" si="457">0.5*(K622+K624)*EXP(-J47*0.5)</f>
        <v>91.313235934938021</v>
      </c>
      <c r="L623">
        <f t="shared" ref="L623" si="458">0.5*(M622+M624)*EXP(-L47*0.5)</f>
        <v>92.591744432532053</v>
      </c>
      <c r="N623">
        <f t="shared" ref="N623" si="459">0.5*(O622+O624)*EXP(-N47*0.5)</f>
        <v>93.703730762981692</v>
      </c>
      <c r="P623">
        <f t="shared" ref="P623" si="460">0.5*(Q622+Q624)*EXP(-P47*0.5)</f>
        <v>94.589871389403854</v>
      </c>
      <c r="R623">
        <f t="shared" ref="R623" si="461">0.5*(S622+S624)*EXP(-R47*0.5)</f>
        <v>96.165470685990996</v>
      </c>
      <c r="T623">
        <f t="shared" ref="T623" si="462">0.5*(U622+U624)*EXP(-T47*0.5)</f>
        <v>97.60812484494592</v>
      </c>
      <c r="V623">
        <f t="shared" ref="V623" si="463">0.5*(W622+W624)*EXP(-V47*0.5)</f>
        <v>99.426316019083657</v>
      </c>
    </row>
    <row r="624" spans="1:23" x14ac:dyDescent="0.25">
      <c r="E624">
        <f t="shared" ref="E624" si="464">0.5*(F623+F625)*EXP(-E48*0.5)</f>
        <v>91.025944884072686</v>
      </c>
      <c r="G624">
        <f t="shared" ref="G624" si="465">0.5*(H623+H625)*EXP(-G48*0.5)</f>
        <v>92.094174768180238</v>
      </c>
      <c r="I624">
        <f t="shared" ref="I624" si="466">0.5*(J623+J625)*EXP(-I48*0.5)</f>
        <v>93.134741936511517</v>
      </c>
      <c r="K624">
        <f t="shared" ref="K624" si="467">0.5*(L623+L625)*EXP(-K48*0.5)</f>
        <v>94.094869825180155</v>
      </c>
      <c r="M624">
        <f t="shared" ref="M624" si="468">0.5*(N623+N625)*EXP(-M48*0.5)</f>
        <v>94.941893941339288</v>
      </c>
      <c r="O624">
        <f t="shared" ref="O624" si="469">0.5*(P623+P625)*EXP(-O48*0.5)</f>
        <v>95.619918374073563</v>
      </c>
      <c r="Q624">
        <f t="shared" ref="Q624" si="470">0.5*(R623+R625)*EXP(-Q48*0.5)</f>
        <v>96.364454086802255</v>
      </c>
      <c r="S624">
        <f t="shared" ref="S624" si="471">0.5*(T623+T625)*EXP(-S48*0.5)</f>
        <v>97.5134494613594</v>
      </c>
      <c r="U624">
        <f t="shared" ref="U624" si="472">0.5*(V623+V625)*EXP(-U48*0.5)</f>
        <v>98.875767270651863</v>
      </c>
      <c r="W624">
        <v>100</v>
      </c>
    </row>
    <row r="625" spans="6:23" x14ac:dyDescent="0.25">
      <c r="F625">
        <f t="shared" ref="F625" si="473">0.5*(G624+G626)*EXP(-F49*0.5)</f>
        <v>93.765362774400458</v>
      </c>
      <c r="H625">
        <f t="shared" ref="H625" si="474">0.5*(I624+I626)*EXP(-H49*0.5)</f>
        <v>94.567104313682123</v>
      </c>
      <c r="J625">
        <f t="shared" ref="J625" si="475">0.5*(K624+K626)*EXP(-J49*0.5)</f>
        <v>95.283208670169472</v>
      </c>
      <c r="L625">
        <f t="shared" ref="L625" si="476">0.5*(M624+M626)*EXP(-L49*0.5)</f>
        <v>95.959123819897513</v>
      </c>
      <c r="N625">
        <f t="shared" ref="N625" si="477">0.5*(O624+O626)*EXP(-N49*0.5)</f>
        <v>96.518709684464127</v>
      </c>
      <c r="P625">
        <f t="shared" ref="P625" si="478">0.5*(Q624+Q626)*EXP(-P49*0.5)</f>
        <v>96.938435859693627</v>
      </c>
      <c r="R625">
        <f t="shared" ref="R625" si="479">0.5*(S624+S626)*EXP(-R49*0.5)</f>
        <v>97.815056598983304</v>
      </c>
      <c r="T625">
        <f t="shared" ref="T625" si="480">0.5*(U624+U626)*EXP(-T49*0.5)</f>
        <v>98.634122612205758</v>
      </c>
      <c r="V625">
        <f t="shared" ref="V625" si="481">0.5*(W624+W626)*EXP(-V49*0.5)</f>
        <v>99.673759395339957</v>
      </c>
    </row>
    <row r="626" spans="6:23" x14ac:dyDescent="0.25">
      <c r="G626">
        <f t="shared" ref="G626" si="482">0.5*(H625+H627)*EXP(-G50*0.5)</f>
        <v>95.717781521596152</v>
      </c>
      <c r="I626">
        <f t="shared" ref="I626" si="483">0.5*(J625+J627)*EXP(-I50*0.5)</f>
        <v>96.278162358952827</v>
      </c>
      <c r="K626">
        <f t="shared" ref="K626" si="484">0.5*(L625+L627)*EXP(-K50*0.5)</f>
        <v>96.782376620274718</v>
      </c>
      <c r="M626">
        <f t="shared" ref="M626" si="485">0.5*(N625+N627)*EXP(-M50*0.5)</f>
        <v>97.217862075658246</v>
      </c>
      <c r="O626">
        <f t="shared" ref="O626" si="486">0.5*(P625+P627)*EXP(-O50*0.5)</f>
        <v>97.59306995860841</v>
      </c>
      <c r="Q626">
        <f t="shared" ref="Q626" si="487">0.5*(R625+R627)*EXP(-Q50*0.5)</f>
        <v>97.946480640592725</v>
      </c>
      <c r="S626">
        <f t="shared" ref="S626" si="488">0.5*(T625+T627)*EXP(-S50*0.5)</f>
        <v>98.579531392794209</v>
      </c>
      <c r="U626">
        <f t="shared" ref="U626" si="489">0.5*(V625+V627)*EXP(-U50*0.5)</f>
        <v>99.359890868052872</v>
      </c>
      <c r="W626">
        <v>100</v>
      </c>
    </row>
    <row r="627" spans="6:23" x14ac:dyDescent="0.25">
      <c r="H627">
        <f t="shared" ref="H627" si="490">0.5*(I626+I628)*EXP(-H51*0.5)</f>
        <v>97.055770172250192</v>
      </c>
      <c r="J627">
        <f t="shared" ref="J627" si="491">0.5*(K626+K628)*EXP(-J51*0.5)</f>
        <v>97.428320558184183</v>
      </c>
      <c r="L627">
        <f t="shared" ref="L627" si="492">0.5*(M626+M628)*EXP(-L51*0.5)</f>
        <v>97.776184721264372</v>
      </c>
      <c r="N627">
        <f t="shared" ref="N627" si="493">0.5*(O626+O628)*EXP(-N51*0.5)</f>
        <v>98.055240388991095</v>
      </c>
      <c r="P627">
        <f t="shared" ref="P627" si="494">0.5*(Q626+Q628)*EXP(-P51*0.5)</f>
        <v>98.255673619599563</v>
      </c>
      <c r="R627">
        <f t="shared" ref="R627" si="495">0.5*(S626+S628)*EXP(-R51*0.5)</f>
        <v>98.759696150373216</v>
      </c>
      <c r="T627">
        <f t="shared" ref="T627" si="496">0.5*(U626+U628)*EXP(-T51*0.5)</f>
        <v>99.221832704587285</v>
      </c>
      <c r="V627">
        <f t="shared" ref="V627" si="497">0.5*(W626+W628)*EXP(-V51*0.5)</f>
        <v>99.814574101283483</v>
      </c>
    </row>
    <row r="628" spans="6:23" x14ac:dyDescent="0.25">
      <c r="I628">
        <f t="shared" ref="I628" si="498">0.5*(J627+J629)*EXP(-I52*0.5)</f>
        <v>97.964729951137329</v>
      </c>
      <c r="K628">
        <f t="shared" ref="K628" si="499">0.5*(L627+L629)*EXP(-K52*0.5)</f>
        <v>98.2202122241887</v>
      </c>
      <c r="M628">
        <f t="shared" ref="M628" si="500">0.5*(N627+N629)*EXP(-M52*0.5)</f>
        <v>98.432612999289532</v>
      </c>
      <c r="O628">
        <f t="shared" ref="O628" si="501">0.5*(P627+P629)*EXP(-O52*0.5)</f>
        <v>98.588526935751631</v>
      </c>
      <c r="Q628">
        <f t="shared" ref="Q628" si="502">0.5*(R627+R629)*EXP(-Q52*0.5)</f>
        <v>98.800886124708398</v>
      </c>
      <c r="S628">
        <f t="shared" ref="S628" si="503">0.5*(T627+T629)*EXP(-S52*0.5)</f>
        <v>99.190559422826468</v>
      </c>
      <c r="U628">
        <f t="shared" ref="U628" si="504">0.5*(V627+V629)*EXP(-U52*0.5)</f>
        <v>99.635926428035901</v>
      </c>
      <c r="W628">
        <v>100</v>
      </c>
    </row>
    <row r="629" spans="6:23" x14ac:dyDescent="0.25">
      <c r="J629">
        <f t="shared" ref="J629" si="505">0.5*(K628+K630)*EXP(-J53*0.5)</f>
        <v>98.573674789652401</v>
      </c>
      <c r="L629">
        <f t="shared" ref="L629" si="506">0.5*(M628+M630)*EXP(-L53*0.5)</f>
        <v>98.743739246792899</v>
      </c>
      <c r="N629">
        <f t="shared" ref="N629" si="507">0.5*(O628+O630)*EXP(-N53*0.5)</f>
        <v>98.865790116935784</v>
      </c>
      <c r="P629">
        <f t="shared" ref="P629" si="508">0.5*(Q628+Q630)*EXP(-P53*0.5)</f>
        <v>98.968658588565276</v>
      </c>
      <c r="R629">
        <f t="shared" ref="R629" si="509">0.5*(S628+S630)*EXP(-R53*0.5)</f>
        <v>99.210911864891287</v>
      </c>
      <c r="T629">
        <f t="shared" ref="T629" si="510">0.5*(U628+U630)*EXP(-T53*0.5)</f>
        <v>99.557250563785544</v>
      </c>
      <c r="V629">
        <f t="shared" ref="V629" si="511">0.5*(W628+W630)*EXP(-V53*0.5)</f>
        <v>99.894641296481041</v>
      </c>
    </row>
    <row r="630" spans="6:23" x14ac:dyDescent="0.25">
      <c r="K630">
        <f t="shared" ref="K630" si="512">0.5*(L629+L631)*EXP(-K54*0.5)</f>
        <v>98.994961345921141</v>
      </c>
      <c r="M630">
        <f t="shared" ref="M630" si="513">0.5*(N629+N631)*EXP(-M54*0.5)</f>
        <v>99.094373405599598</v>
      </c>
      <c r="O630">
        <f t="shared" ref="O630" si="514">0.5*(P629+P631)*EXP(-O54*0.5)</f>
        <v>99.171647343753193</v>
      </c>
      <c r="Q630">
        <f t="shared" ref="Q630" si="515">0.5*(R629+R631)*EXP(-Q54*0.5)</f>
        <v>99.263994361542316</v>
      </c>
      <c r="S630">
        <f t="shared" ref="S630" si="516">0.5*(T629+T631)*EXP(-S54*0.5)</f>
        <v>99.366397654528484</v>
      </c>
      <c r="U630">
        <f t="shared" ref="U630" si="517">0.5*(V629+V631)*EXP(-U54*0.5)</f>
        <v>99.793052003554706</v>
      </c>
      <c r="W630">
        <v>100</v>
      </c>
    </row>
    <row r="631" spans="6:23" x14ac:dyDescent="0.25">
      <c r="L631">
        <f t="shared" ref="L631" si="518">0.5*(M630+M632)*EXP(-L55*0.5)</f>
        <v>99.282990182617667</v>
      </c>
      <c r="N631">
        <f t="shared" ref="N631" si="519">0.5*(O630+O632)*EXP(-N55*0.5)</f>
        <v>99.345360503897425</v>
      </c>
      <c r="P631">
        <f t="shared" ref="P631" si="520">0.5*(Q630+Q632)*EXP(-P55*0.5)</f>
        <v>99.393601894596628</v>
      </c>
      <c r="R631">
        <f t="shared" ref="R631" si="521">0.5*(S630+S632)*EXP(-R55*0.5)</f>
        <v>99.515885576187998</v>
      </c>
      <c r="T631">
        <f t="shared" ref="T631" si="522">0.5*(U630+U632)*EXP(-T55*0.5)</f>
        <v>99.74828139643752</v>
      </c>
      <c r="V631">
        <f t="shared" ref="V631" si="523">0.5*(W630+W632)*EXP(-V55*0.5)</f>
        <v>99.940145714887535</v>
      </c>
    </row>
    <row r="632" spans="6:23" x14ac:dyDescent="0.25">
      <c r="M632">
        <f t="shared" ref="M632" si="524">0.5*(N631+N633)*EXP(-M56*0.5)</f>
        <v>99.487448680674305</v>
      </c>
      <c r="O632">
        <f t="shared" ref="O632" si="525">0.5*(P631+P633)*EXP(-O56*0.5)</f>
        <v>99.530532432704106</v>
      </c>
      <c r="Q632">
        <f t="shared" ref="Q632" si="526">0.5*(R631+R633)*EXP(-Q56*0.5)</f>
        <v>99.591960625713327</v>
      </c>
      <c r="S632">
        <f t="shared" ref="S632" si="527">0.5*(T631+T633)*EXP(-S56*0.5)</f>
        <v>99.738115577277966</v>
      </c>
      <c r="U632">
        <f t="shared" ref="U632" si="528">0.5*(V631+V633)*EXP(-U56*0.5)</f>
        <v>99.882406369952207</v>
      </c>
      <c r="W632">
        <v>100</v>
      </c>
    </row>
    <row r="633" spans="6:23" x14ac:dyDescent="0.25">
      <c r="N633">
        <f t="shared" ref="N633" si="529">0.5*(O632+O634)*EXP(-N57*0.5)</f>
        <v>99.638507138071446</v>
      </c>
      <c r="P633">
        <f t="shared" ref="P633" si="530">0.5*(Q632+Q634)*EXP(-P57*0.5)</f>
        <v>99.675054100507609</v>
      </c>
      <c r="R633">
        <f t="shared" ref="R633" si="531">0.5*(S632+S634)*EXP(-R57*0.5)</f>
        <v>99.775070816829498</v>
      </c>
      <c r="T633">
        <f t="shared" ref="T633" si="532">0.5*(U632+U634)*EXP(-T57*0.5)</f>
        <v>99.856950511632974</v>
      </c>
      <c r="V633">
        <f t="shared" ref="V633" si="533">0.5*(W632+W634)*EXP(-V57*0.5)</f>
        <v>99.966000121685795</v>
      </c>
    </row>
    <row r="634" spans="6:23" x14ac:dyDescent="0.25">
      <c r="O634">
        <f t="shared" ref="O634" si="534">0.5*(P633+P635)*EXP(-O58*0.5)</f>
        <v>99.751065264111816</v>
      </c>
      <c r="Q634">
        <f t="shared" ref="Q634" si="535">0.5*(R633+R635)*EXP(-Q58*0.5)</f>
        <v>99.795150163150296</v>
      </c>
      <c r="S634">
        <f t="shared" ref="S634" si="536">0.5*(T633+T635)*EXP(-S58*0.5)</f>
        <v>99.851167539916986</v>
      </c>
      <c r="U634">
        <f t="shared" ref="U634" si="537">0.5*(V633+V635)*EXP(-U58*0.5)</f>
        <v>99.933193083557555</v>
      </c>
      <c r="W634">
        <v>100</v>
      </c>
    </row>
    <row r="635" spans="6:23" x14ac:dyDescent="0.25">
      <c r="P635">
        <f t="shared" ref="P635" si="538">0.5*(Q634+Q636)*EXP(-P59*0.5)</f>
        <v>99.830110610048479</v>
      </c>
      <c r="R635">
        <f t="shared" ref="R635" si="539">0.5*(S634+S636)*EXP(-R59*0.5)</f>
        <v>99.872788958023847</v>
      </c>
      <c r="T635">
        <f t="shared" ref="T635" si="540">0.5*(U634+U636)*EXP(-T59*0.5)</f>
        <v>99.9187260362676</v>
      </c>
      <c r="V635">
        <f t="shared" ref="V635" si="541">0.5*(W634+W636)*EXP(-V59*0.5)</f>
        <v>99.980687645984034</v>
      </c>
    </row>
    <row r="636" spans="6:23" x14ac:dyDescent="0.25">
      <c r="Q636">
        <f t="shared" ref="Q636" si="542">0.5*(R635+R637)*EXP(-Q60*0.5)</f>
        <v>99.884961619384015</v>
      </c>
      <c r="S636">
        <f t="shared" ref="S636" si="543">0.5*(T635+T637)*EXP(-S60*0.5)</f>
        <v>99.915438541499668</v>
      </c>
      <c r="U636">
        <f t="shared" ref="U636" si="544">0.5*(V635+V637)*EXP(-U60*0.5)</f>
        <v>99.962050085373221</v>
      </c>
      <c r="W636">
        <v>100</v>
      </c>
    </row>
    <row r="637" spans="6:23" x14ac:dyDescent="0.25">
      <c r="R637">
        <f t="shared" ref="R637" si="545">0.5*(S636+S638)*EXP(-R61*0.5)</f>
        <v>99.928054133526274</v>
      </c>
      <c r="T637">
        <f t="shared" ref="T637" si="546">0.5*(U636+U638)*EXP(-T61*0.5)</f>
        <v>99.953830366207001</v>
      </c>
      <c r="V637">
        <f t="shared" ref="V637" si="547">0.5*(W636+W638)*EXP(-V61*0.5)</f>
        <v>99.989030690673403</v>
      </c>
    </row>
    <row r="638" spans="6:23" x14ac:dyDescent="0.25">
      <c r="S638">
        <f t="shared" ref="S638" si="548">0.5*(T637+T639)*EXP(-S62*0.5)</f>
        <v>99.951962216358851</v>
      </c>
      <c r="U638">
        <f t="shared" ref="U638" si="549">0.5*(V637+V639)*EXP(-U62*0.5)</f>
        <v>99.978443771918307</v>
      </c>
      <c r="W638">
        <v>100</v>
      </c>
    </row>
    <row r="639" spans="6:23" x14ac:dyDescent="0.25">
      <c r="T639">
        <f t="shared" ref="T639" si="550">0.5*(U638+U640)*EXP(-T63*0.5)</f>
        <v>99.973774290013026</v>
      </c>
      <c r="V639">
        <f t="shared" ref="V639" si="551">0.5*(W638+W640)*EXP(-V63*0.5)</f>
        <v>99.993769605805412</v>
      </c>
    </row>
    <row r="640" spans="6:23" x14ac:dyDescent="0.25">
      <c r="U640">
        <f t="shared" ref="U640" si="552">0.5*(V639+V641)*EXP(-U64*0.5)</f>
        <v>99.987756117075861</v>
      </c>
      <c r="W640">
        <v>100</v>
      </c>
    </row>
    <row r="641" spans="14:27" x14ac:dyDescent="0.25">
      <c r="V641">
        <f t="shared" ref="V641" si="553">0.5*(W640+W642)*EXP(-V65*0.5)</f>
        <v>99.996461270871947</v>
      </c>
    </row>
    <row r="642" spans="14:27" x14ac:dyDescent="0.25">
      <c r="W642">
        <v>100</v>
      </c>
    </row>
    <row r="646" spans="14:27" x14ac:dyDescent="0.25">
      <c r="X646">
        <v>100</v>
      </c>
      <c r="Z646">
        <f>0.5*LN(W22/W24)/SQRT(0.5)</f>
        <v>0.37000000000000743</v>
      </c>
      <c r="AA646">
        <f>(C24-Z646)^2*1000000</f>
        <v>5.5331196930267531E-23</v>
      </c>
    </row>
    <row r="647" spans="14:27" x14ac:dyDescent="0.25">
      <c r="W647">
        <f>0.5*(X646+X648)*EXP(-W22*0.5)</f>
        <v>1.6213530040173576</v>
      </c>
      <c r="AA647">
        <f>(D24-A669)^2*10000</f>
        <v>5.0487097934144756E-23</v>
      </c>
    </row>
    <row r="648" spans="14:27" x14ac:dyDescent="0.25">
      <c r="V648">
        <f>0.5*(W647+W649)*EXP(-V23*0.5)</f>
        <v>3.128165754088677E-2</v>
      </c>
      <c r="X648">
        <v>100</v>
      </c>
      <c r="AA648">
        <f>AA646+AA647</f>
        <v>1.0581829486441229E-22</v>
      </c>
    </row>
    <row r="649" spans="14:27" x14ac:dyDescent="0.25">
      <c r="U649">
        <f>0.5*(V648+V650)*EXP(-U24*0.5)</f>
        <v>1.1032973428388654E-3</v>
      </c>
      <c r="W649">
        <f t="shared" ref="W649" si="554">0.5*(X648+X650)*EXP(-W24*0.5)</f>
        <v>8.6935718931687251</v>
      </c>
    </row>
    <row r="650" spans="14:27" x14ac:dyDescent="0.25">
      <c r="T650">
        <f>0.5*(U649+U651)*EXP(-T25*0.5)</f>
        <v>7.7408355138598912E-4</v>
      </c>
      <c r="V650">
        <f t="shared" ref="V650" si="555">0.5*(W649+W651)*EXP(-V25*0.5)</f>
        <v>0.88653411233752388</v>
      </c>
      <c r="X650">
        <v>100</v>
      </c>
    </row>
    <row r="651" spans="14:27" x14ac:dyDescent="0.25">
      <c r="S651">
        <f>0.5*(T650+T652)*EXP(-S26*0.5)</f>
        <v>1.8816083207570296E-3</v>
      </c>
      <c r="U651">
        <f t="shared" ref="U651" si="556">0.5*(V650+V652)*EXP(-U26*0.5)</f>
        <v>0.11776196039909977</v>
      </c>
      <c r="W651">
        <f t="shared" ref="W651" si="557">0.5*(X650+X652)*EXP(-W26*0.5)</f>
        <v>23.517089745860702</v>
      </c>
    </row>
    <row r="652" spans="14:27" x14ac:dyDescent="0.25">
      <c r="R652">
        <f>0.5*(S651+S653)*EXP(-R27*0.5)</f>
        <v>7.1468075767082756E-3</v>
      </c>
      <c r="T652">
        <f t="shared" ref="T652" si="558">0.5*(U651+U653)*EXP(-T27*0.5)</f>
        <v>8.5383933301648479E-2</v>
      </c>
      <c r="V652">
        <f t="shared" ref="V652" si="559">0.5*(W651+W653)*EXP(-V27*0.5)</f>
        <v>6.350638667976523</v>
      </c>
      <c r="X652">
        <v>100</v>
      </c>
    </row>
    <row r="653" spans="14:27" x14ac:dyDescent="0.25">
      <c r="Q653">
        <f>0.5*(R652+R654)*EXP(-Q28*0.5)</f>
        <v>5.5815849887868836E-3</v>
      </c>
      <c r="S653">
        <f t="shared" ref="S653" si="560">0.5*(T652+T654)*EXP(-S28*0.5)</f>
        <v>0.12959616374963434</v>
      </c>
      <c r="U653">
        <f t="shared" ref="U653" si="561">0.5*(V652+V654)*EXP(-U28*0.5)</f>
        <v>1.8920961889695893</v>
      </c>
      <c r="W653">
        <f t="shared" ref="W653" si="562">0.5*(X652+X654)*EXP(-W28*0.5)</f>
        <v>42.412181831953447</v>
      </c>
    </row>
    <row r="654" spans="14:27" x14ac:dyDescent="0.25">
      <c r="P654">
        <f>0.5*(Q653+Q655)*EXP(-P29*0.5)</f>
        <v>4.3824930591866415E-2</v>
      </c>
      <c r="R654">
        <f t="shared" ref="R654" si="563">0.5*(S653+S655)*EXP(-R29*0.5)</f>
        <v>0.28432638335681903</v>
      </c>
      <c r="T654">
        <f t="shared" ref="T654" si="564">0.5*(U653+U655)*EXP(-T29*0.5)</f>
        <v>1.4489248465594162</v>
      </c>
      <c r="V654">
        <f t="shared" ref="V654" si="565">0.5*(W653+W655)*EXP(-V29*0.5)</f>
        <v>20.125146885391764</v>
      </c>
      <c r="X654">
        <v>100</v>
      </c>
    </row>
    <row r="655" spans="14:27" x14ac:dyDescent="0.25">
      <c r="O655">
        <f>0.5*(P654+P656)*EXP(-O30*0.5)</f>
        <v>1.1954151620885837E-3</v>
      </c>
      <c r="Q655">
        <f t="shared" ref="Q655" si="566">0.5*(R654+R656)*EXP(-Q30*0.5)</f>
        <v>0.26496161401456814</v>
      </c>
      <c r="S655">
        <f t="shared" ref="S655" si="567">0.5*(T654+T656)*EXP(-S30*0.5)</f>
        <v>1.7415285225975092</v>
      </c>
      <c r="U655">
        <f t="shared" ref="U655" si="568">0.5*(V654+V656)*EXP(-U30*0.5)</f>
        <v>9.8632557379882861</v>
      </c>
      <c r="W655">
        <f t="shared" ref="W655" si="569">0.5*(X654+X656)*EXP(-W30*0.5)</f>
        <v>60.152834667573039</v>
      </c>
    </row>
    <row r="656" spans="14:27" x14ac:dyDescent="0.25">
      <c r="N656">
        <f>0.5*(O655+O657)*EXP(-N31*0.5)</f>
        <v>4.1406584135118855E-3</v>
      </c>
      <c r="P656">
        <f t="shared" ref="P656" si="570">0.5*(Q655+Q657)*EXP(-P31*0.5)</f>
        <v>0.83286977842320542</v>
      </c>
      <c r="R656">
        <f t="shared" ref="R656" si="571">0.5*(S655+S657)*EXP(-R31*0.5)</f>
        <v>2.7682298490994413</v>
      </c>
      <c r="T656">
        <f t="shared" ref="T656" si="572">0.5*(U655+U657)*EXP(-T31*0.5)</f>
        <v>8.1141845227563856</v>
      </c>
      <c r="V656">
        <f t="shared" ref="V656" si="573">0.5*(W655+W657)*EXP(-V31*0.5)</f>
        <v>39.429394427758901</v>
      </c>
      <c r="X656">
        <v>100</v>
      </c>
    </row>
    <row r="657" spans="1:24" x14ac:dyDescent="0.25">
      <c r="M657">
        <f>0.5*(N656+N658)*EXP(-M32*0.5)</f>
        <v>1.7469644960656415E-2</v>
      </c>
      <c r="O657">
        <f t="shared" ref="O657" si="574">0.5*(P656+P658)*EXP(-O32*0.5)</f>
        <v>0.29034078328370932</v>
      </c>
      <c r="Q657">
        <f t="shared" ref="Q657" si="575">0.5*(R656+R658)*EXP(-Q32*0.5)</f>
        <v>2.785251762124116</v>
      </c>
      <c r="S657">
        <f t="shared" ref="S657" si="576">0.5*(T656+T658)*EXP(-S32*0.5)</f>
        <v>8.750525891635224</v>
      </c>
      <c r="U657">
        <f t="shared" ref="U657" si="577">0.5*(V656+V658)*EXP(-U32*0.5)</f>
        <v>26.086153048646924</v>
      </c>
      <c r="W657">
        <f t="shared" ref="W657" si="578">0.5*(X656+X658)*EXP(-W32*0.5)</f>
        <v>73.992929367979499</v>
      </c>
    </row>
    <row r="658" spans="1:24" x14ac:dyDescent="0.25">
      <c r="L658">
        <f>0.5*(M657+M659)*EXP(-L33*0.5)</f>
        <v>8.066719748590169E-2</v>
      </c>
      <c r="N658">
        <f t="shared" ref="N658" si="579">0.5*(O657+O659)*EXP(-N33*0.5)</f>
        <v>0.56120715575490687</v>
      </c>
      <c r="P658">
        <f t="shared" ref="P658" si="580">0.5*(Q657+Q659)*EXP(-P33*0.5)</f>
        <v>5.2855174262608875</v>
      </c>
      <c r="R658">
        <f t="shared" ref="R658" si="581">0.5*(S657+S659)*EXP(-R33*0.5)</f>
        <v>11.489626330292861</v>
      </c>
      <c r="T658">
        <f t="shared" ref="T658" si="582">0.5*(U657+U659)*EXP(-T33*0.5)</f>
        <v>22.945571129768197</v>
      </c>
      <c r="V658">
        <f t="shared" ref="V658" si="583">0.5*(W657+W659)*EXP(-V33*0.5)</f>
        <v>58.291864374142691</v>
      </c>
      <c r="X658">
        <v>100</v>
      </c>
    </row>
    <row r="659" spans="1:24" x14ac:dyDescent="0.25">
      <c r="K659">
        <f>0.5*(L658+L660)*EXP(-K34*0.5)</f>
        <v>0.78767520010186287</v>
      </c>
      <c r="M659">
        <f t="shared" ref="M659" si="584">0.5*(N658+N660)*EXP(-M34*0.5)</f>
        <v>1.133362517380111</v>
      </c>
      <c r="O659">
        <f t="shared" ref="O659" si="585">0.5*(P658+P660)*EXP(-O34*0.5)</f>
        <v>4.3544841402682755</v>
      </c>
      <c r="Q659">
        <f t="shared" ref="Q659" si="586">0.5*(R658+R660)*EXP(-Q34*0.5)</f>
        <v>11.840889400128633</v>
      </c>
      <c r="S659">
        <f t="shared" ref="S659" si="587">0.5*(T658+T660)*EXP(-S34*0.5)</f>
        <v>23.634806385734176</v>
      </c>
      <c r="U659">
        <f t="shared" ref="U659" si="588">0.5*(V658+V660)*EXP(-U34*0.5)</f>
        <v>46.010565737053632</v>
      </c>
      <c r="W659">
        <f t="shared" ref="W659" si="589">0.5*(X658+X660)*EXP(-W34*0.5)</f>
        <v>83.653465485023617</v>
      </c>
    </row>
    <row r="660" spans="1:24" x14ac:dyDescent="0.25">
      <c r="J660">
        <f>0.5*(K659+K661)*EXP(-J35*0.5)</f>
        <v>2.5136697574019773</v>
      </c>
      <c r="L660">
        <f t="shared" ref="L660" si="590">0.5*(M659+M661)*EXP(-L35*0.5)</f>
        <v>2.374893158920707</v>
      </c>
      <c r="N660">
        <f t="shared" ref="N660" si="591">0.5*(O659+O661)*EXP(-N35*0.5)</f>
        <v>6.3185935465334273</v>
      </c>
      <c r="P660">
        <f t="shared" ref="P660" si="592">0.5*(Q659+Q661)*EXP(-P35*0.5)</f>
        <v>16.990700682195033</v>
      </c>
      <c r="R660">
        <f t="shared" ref="R660" si="593">0.5*(S659+S661)*EXP(-R35*0.5)</f>
        <v>27.728565011377881</v>
      </c>
      <c r="T660">
        <f t="shared" ref="T660" si="594">0.5*(U659+U661)*EXP(-T35*0.5)</f>
        <v>42.530531312339278</v>
      </c>
      <c r="V660">
        <f t="shared" ref="V660" si="595">0.5*(W659+W661)*EXP(-V35*0.5)</f>
        <v>73.135990668794449</v>
      </c>
      <c r="X660">
        <v>100</v>
      </c>
    </row>
    <row r="661" spans="1:24" x14ac:dyDescent="0.25">
      <c r="I661">
        <f>0.5*(J660+J662)*EXP(-I36*0.5)</f>
        <v>6.0358471750908578</v>
      </c>
      <c r="K661">
        <f t="shared" ref="K661" si="596">0.5*(L660+L662)*EXP(-K36*0.5)</f>
        <v>6.5442056484053879</v>
      </c>
      <c r="M661">
        <f t="shared" ref="M661" si="597">0.5*(N660+N662)*EXP(-M36*0.5)</f>
        <v>9.2654303395159232</v>
      </c>
      <c r="O661">
        <f t="shared" ref="O661" si="598">0.5*(P660+P662)*EXP(-O36*0.5)</f>
        <v>17.911945687365002</v>
      </c>
      <c r="Q661">
        <f t="shared" ref="Q661" si="599">0.5*(R660+R662)*EXP(-Q36*0.5)</f>
        <v>28.609924320183357</v>
      </c>
      <c r="S661">
        <f t="shared" ref="S661" si="600">0.5*(T660+T662)*EXP(-S36*0.5)</f>
        <v>43.036254763483889</v>
      </c>
      <c r="U661">
        <f t="shared" ref="U661" si="601">0.5*(V660+V662)*EXP(-U36*0.5)</f>
        <v>63.930272452057366</v>
      </c>
      <c r="W661">
        <f t="shared" ref="W661" si="602">0.5*(X660+X662)*EXP(-W36*0.5)</f>
        <v>89.963233115705648</v>
      </c>
    </row>
    <row r="662" spans="1:24" x14ac:dyDescent="0.25">
      <c r="H662">
        <f>0.5*(I661+I663)*EXP(-H37*0.5)</f>
        <v>10.9352359230872</v>
      </c>
      <c r="J662">
        <f t="shared" ref="J662" si="603">0.5*(K661+K663)*EXP(-J37*0.5)</f>
        <v>12.033660723324221</v>
      </c>
      <c r="L662">
        <f t="shared" ref="L662" si="604">0.5*(M661+M663)*EXP(-L37*0.5)</f>
        <v>13.674126320092988</v>
      </c>
      <c r="N662">
        <f t="shared" ref="N662" si="605">0.5*(O661+O663)*EXP(-N37*0.5)</f>
        <v>22.534914149265635</v>
      </c>
      <c r="P662">
        <f t="shared" ref="P662" si="606">0.5*(Q661+Q663)*EXP(-P37*0.5)</f>
        <v>35.109830842052133</v>
      </c>
      <c r="R662">
        <f t="shared" ref="R662" si="607">0.5*(S661+S663)*EXP(-R37*0.5)</f>
        <v>47.283438905138723</v>
      </c>
      <c r="T662">
        <f t="shared" ref="T662" si="608">0.5*(U661+U663)*EXP(-T37*0.5)</f>
        <v>61.039182315028192</v>
      </c>
      <c r="V662">
        <f t="shared" ref="V662" si="609">0.5*(W661+W663)*EXP(-V37*0.5)</f>
        <v>83.415903742572254</v>
      </c>
      <c r="X662">
        <v>100</v>
      </c>
    </row>
    <row r="663" spans="1:24" x14ac:dyDescent="0.25">
      <c r="G663">
        <f>0.5*(H662+H664)*EXP(-G38*0.5)</f>
        <v>18.015614258319324</v>
      </c>
      <c r="I663">
        <f t="shared" ref="I663" si="610">0.5*(J662+J664)*EXP(-I38*0.5)</f>
        <v>19.542836386903815</v>
      </c>
      <c r="K663">
        <f t="shared" ref="K663" si="611">0.5*(L662+L664)*EXP(-K38*0.5)</f>
        <v>22.07873043273484</v>
      </c>
      <c r="M663">
        <f t="shared" ref="M663" si="612">0.5*(N662+N664)*EXP(-M38*0.5)</f>
        <v>28.115684302120716</v>
      </c>
      <c r="O663">
        <f t="shared" ref="O663" si="613">0.5*(P662+P664)*EXP(-O38*0.5)</f>
        <v>38.581272147482224</v>
      </c>
      <c r="Q663">
        <f t="shared" ref="Q663" si="614">0.5*(R662+R664)*EXP(-Q38*0.5)</f>
        <v>48.49496523864952</v>
      </c>
      <c r="S663">
        <f t="shared" ref="S663" si="615">0.5*(T662+T664)*EXP(-S38*0.5)</f>
        <v>61.355688808979828</v>
      </c>
      <c r="U663">
        <f t="shared" ref="U663" si="616">0.5*(V662+V664)*EXP(-U38*0.5)</f>
        <v>77.299632702794909</v>
      </c>
      <c r="W663">
        <f t="shared" ref="W663" si="617">0.5*(X662+X664)*EXP(-W38*0.5)</f>
        <v>93.924650508623714</v>
      </c>
    </row>
    <row r="664" spans="1:24" x14ac:dyDescent="0.25">
      <c r="F664">
        <f>0.5*(G663+G665)*EXP(-F39*0.5)</f>
        <v>26.036169110345469</v>
      </c>
      <c r="H664">
        <f t="shared" ref="H664" si="618">0.5*(I663+I665)*EXP(-H39*0.5)</f>
        <v>27.63361512699738</v>
      </c>
      <c r="J664">
        <f t="shared" ref="J664" si="619">0.5*(K663+K665)*EXP(-J39*0.5)</f>
        <v>30.549369946936633</v>
      </c>
      <c r="L664">
        <f t="shared" ref="L664" si="620">0.5*(M663+M665)*EXP(-L39*0.5)</f>
        <v>34.820089820151907</v>
      </c>
      <c r="N664">
        <f t="shared" ref="N664" si="621">0.5*(O663+O665)*EXP(-N39*0.5)</f>
        <v>44.557500302009991</v>
      </c>
      <c r="P664">
        <f t="shared" ref="P664" si="622">0.5*(Q663+Q665)*EXP(-P39*0.5)</f>
        <v>54.484939502431992</v>
      </c>
      <c r="R664">
        <f t="shared" ref="R664" si="623">0.5*(S663+S665)*EXP(-R39*0.5)</f>
        <v>64.876565007199162</v>
      </c>
      <c r="T664">
        <f t="shared" ref="T664" si="624">0.5*(U663+U665)*EXP(-T39*0.5)</f>
        <v>75.27206317383903</v>
      </c>
      <c r="V664">
        <f t="shared" ref="V664" si="625">0.5*(W663+W665)*EXP(-V39*0.5)</f>
        <v>90.022160195340518</v>
      </c>
      <c r="X664">
        <v>100</v>
      </c>
    </row>
    <row r="665" spans="1:24" x14ac:dyDescent="0.25">
      <c r="E665">
        <f>0.5*(F664+F666)*EXP(-E40*0.5)</f>
        <v>34.916369751339722</v>
      </c>
      <c r="G665">
        <f t="shared" ref="G665" si="626">0.5*(H664+H666)*EXP(-G40*0.5)</f>
        <v>36.804283523374352</v>
      </c>
      <c r="I665">
        <f t="shared" ref="I665" si="627">0.5*(J664+J666)*EXP(-I40*0.5)</f>
        <v>39.847612383413555</v>
      </c>
      <c r="K665">
        <f t="shared" ref="K665" si="628">0.5*(L664+L666)*EXP(-K40*0.5)</f>
        <v>44.084912235717169</v>
      </c>
      <c r="M665">
        <f t="shared" ref="M665" si="629">0.5*(N664+N666)*EXP(-M40*0.5)</f>
        <v>50.768342015426136</v>
      </c>
      <c r="O665">
        <f t="shared" ref="O665" si="630">0.5*(P664+P666)*EXP(-O40*0.5)</f>
        <v>58.935530892797004</v>
      </c>
      <c r="Q665">
        <f t="shared" ref="Q665" si="631">0.5*(R664+R666)*EXP(-Q40*0.5)</f>
        <v>66.085422331949744</v>
      </c>
      <c r="S665">
        <f t="shared" ref="S665" si="632">0.5*(T664+T666)*EXP(-S40*0.5)</f>
        <v>75.467183222856434</v>
      </c>
      <c r="U665">
        <f t="shared" ref="U665" si="633">0.5*(V664+V666)*EXP(-U40*0.5)</f>
        <v>86.23491689038201</v>
      </c>
      <c r="W665">
        <f t="shared" ref="W665" si="634">0.5*(X664+X666)*EXP(-W40*0.5)</f>
        <v>96.353958344848706</v>
      </c>
    </row>
    <row r="666" spans="1:24" x14ac:dyDescent="0.25">
      <c r="D666">
        <f>0.5*(E665+E667)*EXP(-D41*0.5)</f>
        <v>43.633998853386998</v>
      </c>
      <c r="F666">
        <f t="shared" ref="F666" si="635">0.5*(G665+G667)*EXP(-F41*0.5)</f>
        <v>45.691734942981427</v>
      </c>
      <c r="H666">
        <f t="shared" ref="H666" si="636">0.5*(I665+I667)*EXP(-H41*0.5)</f>
        <v>48.487002397686524</v>
      </c>
      <c r="J666">
        <f t="shared" ref="J666" si="637">0.5*(K665+K667)*EXP(-J41*0.5)</f>
        <v>52.346137792815064</v>
      </c>
      <c r="L666">
        <f t="shared" ref="L666" si="638">0.5*(M665+M667)*EXP(-L41*0.5)</f>
        <v>57.227275472948712</v>
      </c>
      <c r="N666">
        <f t="shared" ref="N666" si="639">0.5*(O665+O667)*EXP(-N41*0.5)</f>
        <v>64.388319783169294</v>
      </c>
      <c r="P666">
        <f t="shared" ref="P666" si="640">0.5*(Q665+Q667)*EXP(-P41*0.5)</f>
        <v>70.621946796011642</v>
      </c>
      <c r="R666">
        <f t="shared" ref="R666" si="641">0.5*(S665+S667)*EXP(-R41*0.5)</f>
        <v>78.016017085048944</v>
      </c>
      <c r="T666">
        <f t="shared" ref="T666" si="642">0.5*(U665+U667)*EXP(-T41*0.5)</f>
        <v>84.947010689628456</v>
      </c>
      <c r="V666">
        <f t="shared" ref="V666" si="643">0.5*(W665+W667)*EXP(-V41*0.5)</f>
        <v>94.087209592230749</v>
      </c>
      <c r="X666">
        <v>100</v>
      </c>
    </row>
    <row r="667" spans="1:24" x14ac:dyDescent="0.25">
      <c r="C667">
        <f>0.5*(D666+D668)*EXP(-C42*0.5)</f>
        <v>52.058395662612973</v>
      </c>
      <c r="E667">
        <f t="shared" ref="E667" si="644">0.5*(F666+F668)*EXP(-E42*0.5)</f>
        <v>54.303880661178098</v>
      </c>
      <c r="G667">
        <f t="shared" ref="G667" si="645">0.5*(H666+H668)*EXP(-G42*0.5)</f>
        <v>56.925677690890431</v>
      </c>
      <c r="I667">
        <f t="shared" ref="I667" si="646">0.5*(J666+J668)*EXP(-I42*0.5)</f>
        <v>60.385521608852294</v>
      </c>
      <c r="K667">
        <f t="shared" ref="K667" si="647">0.5*(L666+L668)*EXP(-K42*0.5)</f>
        <v>64.508690318717214</v>
      </c>
      <c r="M667">
        <f t="shared" ref="M667" si="648">0.5*(N666+N668)*EXP(-M42*0.5)</f>
        <v>69.519290474821261</v>
      </c>
      <c r="O667">
        <f t="shared" ref="O667" si="649">0.5*(P666+P668)*EXP(-O42*0.5)</f>
        <v>74.552544363974789</v>
      </c>
      <c r="Q667">
        <f t="shared" ref="Q667" si="650">0.5*(R666+R668)*EXP(-Q42*0.5)</f>
        <v>79.016283127769952</v>
      </c>
      <c r="S667">
        <f t="shared" ref="S667" si="651">0.5*(T666+T668)*EXP(-S42*0.5)</f>
        <v>85.071823405337426</v>
      </c>
      <c r="U667">
        <f t="shared" ref="U667" si="652">0.5*(V666+V668)*EXP(-U42*0.5)</f>
        <v>91.83649374454906</v>
      </c>
      <c r="W667">
        <f t="shared" ref="W667" si="653">0.5*(X666+X668)*EXP(-W42*0.5)</f>
        <v>97.823078306085733</v>
      </c>
    </row>
    <row r="668" spans="1:24" x14ac:dyDescent="0.25">
      <c r="B668">
        <f>0.5*(C667+C669)*EXP(-B43*0.5)</f>
        <v>59.842195807954226</v>
      </c>
      <c r="D668">
        <f t="shared" ref="D668" si="654">0.5*(E667+E669)*EXP(-D43*0.5)</f>
        <v>61.90518411371265</v>
      </c>
      <c r="F668">
        <f t="shared" ref="F668" si="655">0.5*(G667+G669)*EXP(-F43*0.5)</f>
        <v>64.359466522940536</v>
      </c>
      <c r="H668">
        <f t="shared" ref="H668" si="656">0.5*(I667+I669)*EXP(-H43*0.5)</f>
        <v>67.26383907393901</v>
      </c>
      <c r="J668">
        <f t="shared" ref="J668" si="657">0.5*(K667+K669)*EXP(-J43*0.5)</f>
        <v>70.629220346248772</v>
      </c>
      <c r="L668">
        <f t="shared" ref="L668" si="658">0.5*(M667+M669)*EXP(-L43*0.5)</f>
        <v>74.366450436449881</v>
      </c>
      <c r="N668">
        <f>0.5*(O667+O669)*EXP(-N43*0.5)</f>
        <v>78.61112365814256</v>
      </c>
      <c r="P668">
        <f t="shared" ref="P668" si="659">0.5*(Q667+Q669)*EXP(-P43*0.5)</f>
        <v>82.068403655006705</v>
      </c>
      <c r="R668">
        <f t="shared" ref="R668" si="660">0.5*(S667+S669)*EXP(-R43*0.5)</f>
        <v>86.772873917465375</v>
      </c>
      <c r="T668">
        <f t="shared" ref="T668" si="661">0.5*(U667+U669)*EXP(-T43*0.5)</f>
        <v>91.064469140009038</v>
      </c>
      <c r="V668">
        <f t="shared" ref="V668" si="662">0.5*(W667+W669)*EXP(-V43*0.5)</f>
        <v>96.52666019845347</v>
      </c>
      <c r="X668">
        <v>100</v>
      </c>
    </row>
    <row r="669" spans="1:24" x14ac:dyDescent="0.25">
      <c r="A669">
        <f>0.5*(B668+B670)*EXP(-A44*0.5)</f>
        <v>66.960820921700346</v>
      </c>
      <c r="C669">
        <f>0.5*(D668+D670)*EXP(-C44*0.5)</f>
        <v>68.674501597981532</v>
      </c>
      <c r="E669">
        <f t="shared" ref="E669" si="663">0.5*(F668+F670)*EXP(-E44*0.5)</f>
        <v>70.985476379200193</v>
      </c>
      <c r="G669">
        <f t="shared" ref="G669" si="664">0.5*(H668+H670)*EXP(-G44*0.5)</f>
        <v>73.412459991682482</v>
      </c>
      <c r="I669">
        <f t="shared" ref="I669" si="665">0.5*(J668+J670)*EXP(-I44*0.5)</f>
        <v>76.200699297865341</v>
      </c>
      <c r="K669">
        <f t="shared" ref="K669" si="666">0.5*(L668+L670)*EXP(-K44*0.5)</f>
        <v>79.144148027433275</v>
      </c>
      <c r="M669">
        <f t="shared" ref="M669" si="667">0.5*(N668+N670)*EXP(-M44*0.5)</f>
        <v>82.191608852504032</v>
      </c>
      <c r="O669">
        <f t="shared" ref="O669" si="668">0.5*(P668+P670)*EXP(-O44*0.5)</f>
        <v>84.93904209039988</v>
      </c>
      <c r="Q669">
        <f t="shared" ref="Q669" si="669">0.5*(R668+R670)*EXP(-Q44*0.5)</f>
        <v>87.511723555675957</v>
      </c>
      <c r="S669">
        <f t="shared" ref="S669" si="670">0.5*(T668+T670)*EXP(-S44*0.5)</f>
        <v>91.146738825165457</v>
      </c>
      <c r="U669">
        <f t="shared" ref="U669" si="671">0.5*(V668+V670)*EXP(-U44*0.5)</f>
        <v>95.220823806957668</v>
      </c>
      <c r="W669">
        <f t="shared" ref="W669" si="672">0.5*(X668+X670)*EXP(-W44*0.5)</f>
        <v>98.704206539869276</v>
      </c>
    </row>
    <row r="670" spans="1:24" x14ac:dyDescent="0.25">
      <c r="B670">
        <f>0.5*(C669+C671)*EXP(-B45*0.5)</f>
        <v>74.522117459655391</v>
      </c>
      <c r="D670">
        <f t="shared" ref="D670" si="673">0.5*(E669+E671)*EXP(-D45*0.5)</f>
        <v>76.447776322411883</v>
      </c>
      <c r="F670">
        <f t="shared" ref="F670" si="674">0.5*(G669+G671)*EXP(-F45*0.5)</f>
        <v>78.538719777960509</v>
      </c>
      <c r="H670">
        <f t="shared" ref="H670" si="675">0.5*(I669+I671)*EXP(-H45*0.5)</f>
        <v>80.763843395564805</v>
      </c>
      <c r="J670">
        <f t="shared" ref="J670" si="676">0.5*(K669+K671)*EXP(-J45*0.5)</f>
        <v>83.043836562153928</v>
      </c>
      <c r="L670">
        <f t="shared" ref="L670" si="677">0.5*(M669+M671)*EXP(-L45*0.5)</f>
        <v>85.366207908065533</v>
      </c>
      <c r="N670">
        <f t="shared" ref="N670" si="678">0.5*(O669+O671)*EXP(-N45*0.5)</f>
        <v>87.623973167524738</v>
      </c>
      <c r="P670">
        <f t="shared" ref="P670" si="679">0.5*(Q669+Q671)*EXP(-P45*0.5)</f>
        <v>89.427143593457629</v>
      </c>
      <c r="R670">
        <f t="shared" ref="R670" si="680">0.5*(S669+S671)*EXP(-R45*0.5)</f>
        <v>92.227845360142794</v>
      </c>
      <c r="T670">
        <f t="shared" ref="T670" si="681">0.5*(U669+U671)*EXP(-T45*0.5)</f>
        <v>94.773583712554895</v>
      </c>
      <c r="V670">
        <f t="shared" ref="V670" si="682">0.5*(W669+W671)*EXP(-V45*0.5)</f>
        <v>97.969704387520849</v>
      </c>
      <c r="X670">
        <v>100</v>
      </c>
    </row>
    <row r="671" spans="1:24" x14ac:dyDescent="0.25">
      <c r="C671">
        <f>0.5*(D670+D672)*EXP(-C46*0.5)</f>
        <v>81.069137582155165</v>
      </c>
      <c r="E671">
        <f t="shared" ref="E671" si="683">0.5*(F670+F672)*EXP(-E46*0.5)</f>
        <v>82.88768512288425</v>
      </c>
      <c r="G671">
        <f t="shared" ref="G671" si="684">0.5*(H670+H672)*EXP(-G46*0.5)</f>
        <v>84.636165880233378</v>
      </c>
      <c r="I671">
        <f t="shared" ref="I671" si="685">0.5*(J670+J672)*EXP(-I46*0.5)</f>
        <v>86.457843280455862</v>
      </c>
      <c r="K671">
        <f t="shared" ref="K671" si="686">0.5*(L670+L672)*EXP(-K46*0.5)</f>
        <v>88.231004523688384</v>
      </c>
      <c r="M671">
        <f t="shared" ref="M671" si="687">0.5*(N670+N672)*EXP(-M46*0.5)</f>
        <v>89.896054288068981</v>
      </c>
      <c r="O671">
        <f t="shared" ref="O671" si="688">0.5*(P670+P672)*EXP(-O46*0.5)</f>
        <v>91.313390716474444</v>
      </c>
      <c r="Q671">
        <f t="shared" ref="Q671" si="689">0.5*(R670+R672)*EXP(-Q46*0.5)</f>
        <v>92.736394478796029</v>
      </c>
      <c r="S671">
        <f t="shared" ref="S671" si="690">0.5*(T670+T672)*EXP(-S46*0.5)</f>
        <v>94.828327209431919</v>
      </c>
      <c r="U671">
        <f t="shared" ref="U671" si="691">0.5*(V670+V672)*EXP(-U46*0.5)</f>
        <v>97.222718238072844</v>
      </c>
      <c r="W671">
        <f t="shared" ref="W671" si="692">0.5*(X670+X672)*EXP(-W46*0.5)</f>
        <v>99.230091441767811</v>
      </c>
    </row>
    <row r="672" spans="1:24" x14ac:dyDescent="0.25">
      <c r="D672">
        <f t="shared" ref="D672" si="693">0.5*(E671+E673)*EXP(-D47*0.5)</f>
        <v>86.325538123152057</v>
      </c>
      <c r="F672">
        <f t="shared" ref="F672" si="694">0.5*(G671+G673)*EXP(-F47*0.5)</f>
        <v>87.769616977859201</v>
      </c>
      <c r="H672">
        <f t="shared" ref="H672" si="695">0.5*(I671+I673)*EXP(-H47*0.5)</f>
        <v>89.190786879919855</v>
      </c>
      <c r="J672">
        <f t="shared" ref="J672" si="696">0.5*(K671+K673)*EXP(-J47*0.5)</f>
        <v>90.533210161433161</v>
      </c>
      <c r="L672">
        <f t="shared" ref="L672" si="697">0.5*(M671+M673)*EXP(-L47*0.5)</f>
        <v>91.833720967533949</v>
      </c>
      <c r="N672">
        <f t="shared" ref="N672" si="698">0.5*(O671+O673)*EXP(-N47*0.5)</f>
        <v>92.973219139804087</v>
      </c>
      <c r="P672">
        <f t="shared" ref="P672" si="699">0.5*(Q671+Q673)*EXP(-P47*0.5)</f>
        <v>93.891153582644321</v>
      </c>
      <c r="R672">
        <f t="shared" ref="R672" si="700">0.5*(S671+S673)*EXP(-R47*0.5)</f>
        <v>95.495352852677598</v>
      </c>
      <c r="T672">
        <f t="shared" ref="T672" si="701">0.5*(U671+U673)*EXP(-T47*0.5)</f>
        <v>96.968886636956981</v>
      </c>
      <c r="V672">
        <f t="shared" ref="V672" si="702">0.5*(W671+W673)*EXP(-V47*0.5)</f>
        <v>98.816403257355446</v>
      </c>
      <c r="X672">
        <v>100</v>
      </c>
    </row>
    <row r="673" spans="5:24" x14ac:dyDescent="0.25">
      <c r="E673">
        <f t="shared" ref="E673" si="703">0.5*(F672+F674)*EXP(-E48*0.5)</f>
        <v>90.355029944704626</v>
      </c>
      <c r="G673">
        <f t="shared" ref="G673" si="704">0.5*(H672+H674)*EXP(-G48*0.5)</f>
        <v>91.437375948462389</v>
      </c>
      <c r="I673">
        <f t="shared" ref="I673" si="705">0.5*(J672+J674)*EXP(-I48*0.5)</f>
        <v>92.49637952794771</v>
      </c>
      <c r="K673">
        <f t="shared" ref="K673" si="706">0.5*(L672+L674)*EXP(-K48*0.5)</f>
        <v>93.478890786304063</v>
      </c>
      <c r="M673">
        <f t="shared" ref="M673" si="707">0.5*(N672+N674)*EXP(-M48*0.5)</f>
        <v>94.351458143041626</v>
      </c>
      <c r="O673">
        <f t="shared" ref="O673" si="708">0.5*(P672+P674)*EXP(-O48*0.5)</f>
        <v>95.057385714178835</v>
      </c>
      <c r="Q673">
        <f t="shared" ref="Q673" si="709">0.5*(R672+R674)*EXP(-Q48*0.5)</f>
        <v>95.829959963171873</v>
      </c>
      <c r="S673">
        <f t="shared" ref="S673" si="710">0.5*(T672+T674)*EXP(-S48*0.5)</f>
        <v>97.005165522866548</v>
      </c>
      <c r="U673">
        <f t="shared" ref="U673" si="711">0.5*(V672+V674)*EXP(-U48*0.5)</f>
        <v>98.392700537407535</v>
      </c>
      <c r="W673">
        <f t="shared" ref="W673" si="712">0.5*(X672+X674)*EXP(-W48*0.5)</f>
        <v>99.54304471343049</v>
      </c>
    </row>
    <row r="674" spans="5:24" x14ac:dyDescent="0.25">
      <c r="F674">
        <f t="shared" ref="F674" si="713">0.5*(G673+G675)*EXP(-F49*0.5)</f>
        <v>93.226673621664432</v>
      </c>
      <c r="H674">
        <f t="shared" ref="H674" si="714">0.5*(I673+I675)*EXP(-H49*0.5)</f>
        <v>94.047048504164323</v>
      </c>
      <c r="J674">
        <f t="shared" ref="J674" si="715">0.5*(K673+K675)*EXP(-J49*0.5)</f>
        <v>94.784268578403967</v>
      </c>
      <c r="L674">
        <f t="shared" ref="L674" si="716">0.5*(M673+M675)*EXP(-L49*0.5)</f>
        <v>95.482825128744395</v>
      </c>
      <c r="N674">
        <f t="shared" ref="N674" si="717">0.5*(O673+O675)*EXP(-N49*0.5)</f>
        <v>96.0662436587114</v>
      </c>
      <c r="P674">
        <f t="shared" ref="P674" si="718">0.5*(Q673+Q675)*EXP(-P49*0.5)</f>
        <v>96.510391272654829</v>
      </c>
      <c r="R674">
        <f t="shared" ref="R674" si="719">0.5*(S673+S675)*EXP(-R49*0.5)</f>
        <v>97.409243966907994</v>
      </c>
      <c r="T674">
        <f t="shared" ref="T674" si="720">0.5*(U673+U675)*EXP(-T49*0.5)</f>
        <v>98.250458000253559</v>
      </c>
      <c r="V674">
        <f t="shared" ref="V674" si="721">0.5*(W673+W675)*EXP(-V49*0.5)</f>
        <v>99.310950269046046</v>
      </c>
      <c r="X674">
        <v>100</v>
      </c>
    </row>
    <row r="675" spans="5:24" x14ac:dyDescent="0.25">
      <c r="G675">
        <f t="shared" ref="G675" si="722">0.5*(H674+H676)*EXP(-G50*0.5)</f>
        <v>95.295586343809219</v>
      </c>
      <c r="I675">
        <f t="shared" ref="I675" si="723">0.5*(J674+J676)*EXP(-I50*0.5)</f>
        <v>95.87488050875038</v>
      </c>
      <c r="K675">
        <f t="shared" ref="K675" si="724">0.5*(L674+L676)*EXP(-K50*0.5)</f>
        <v>96.398847853036628</v>
      </c>
      <c r="M675">
        <f t="shared" ref="M675" si="725">0.5*(N674+N676)*EXP(-M50*0.5)</f>
        <v>96.854501750775583</v>
      </c>
      <c r="O675">
        <f t="shared" ref="O675" si="726">0.5*(P674+P676)*EXP(-O50*0.5)</f>
        <v>97.249847524589285</v>
      </c>
      <c r="Q675">
        <f t="shared" ref="Q675" si="727">0.5*(R674+R676)*EXP(-Q50*0.5)</f>
        <v>97.622968927065827</v>
      </c>
      <c r="S675">
        <f t="shared" ref="S675" si="728">0.5*(T674+T676)*EXP(-S50*0.5)</f>
        <v>98.274269733515084</v>
      </c>
      <c r="U675">
        <f t="shared" ref="U675" si="729">0.5*(V674+V676)*EXP(-U50*0.5)</f>
        <v>99.071865358160409</v>
      </c>
      <c r="W675">
        <f t="shared" ref="W675" si="730">0.5*(X674+X676)*EXP(-W50*0.5)</f>
        <v>99.728962024361167</v>
      </c>
    </row>
    <row r="676" spans="5:24" x14ac:dyDescent="0.25">
      <c r="H676">
        <f t="shared" ref="H676" si="731">0.5*(I675+I677)*EXP(-H51*0.5)</f>
        <v>96.7306094266457</v>
      </c>
      <c r="J676">
        <f t="shared" ref="J676" si="732">0.5*(K675+K677)*EXP(-J51*0.5)</f>
        <v>97.120046841975224</v>
      </c>
      <c r="L676">
        <f t="shared" ref="L676" si="733">0.5*(M675+M677)*EXP(-L51*0.5)</f>
        <v>97.484750002162301</v>
      </c>
      <c r="N676">
        <f t="shared" ref="N676" si="734">0.5*(O675+O677)*EXP(-N51*0.5)</f>
        <v>97.780469133416105</v>
      </c>
      <c r="P676">
        <f t="shared" ref="P676" si="735">0.5*(Q675+Q677)*EXP(-P51*0.5)</f>
        <v>97.997245310662308</v>
      </c>
      <c r="R676">
        <f t="shared" ref="R676" si="736">0.5*(S675+S677)*EXP(-R51*0.5)</f>
        <v>98.516233436543786</v>
      </c>
      <c r="T676">
        <f t="shared" ref="T676" si="737">0.5*(U675+U677)*EXP(-T51*0.5)</f>
        <v>98.992815998572965</v>
      </c>
      <c r="V676">
        <f t="shared" ref="V676" si="738">0.5*(W675+W677)*EXP(-V51*0.5)</f>
        <v>99.599104321763548</v>
      </c>
      <c r="X676">
        <v>100</v>
      </c>
    </row>
    <row r="677" spans="5:24" x14ac:dyDescent="0.25">
      <c r="I677">
        <f t="shared" ref="I677" si="739">0.5*(J676+J678)*EXP(-I52*0.5)</f>
        <v>97.717250248679576</v>
      </c>
      <c r="K677">
        <f t="shared" ref="K677" si="740">0.5*(L676+L678)*EXP(-K52*0.5)</f>
        <v>97.986731764653257</v>
      </c>
      <c r="M677">
        <f t="shared" ref="M677" si="741">0.5*(N676+N678)*EXP(-M52*0.5)</f>
        <v>98.212811469286947</v>
      </c>
      <c r="O677">
        <f t="shared" ref="O677" si="742">0.5*(P676+P678)*EXP(-O52*0.5)</f>
        <v>98.382007576415049</v>
      </c>
      <c r="Q677">
        <f t="shared" ref="Q677" si="743">0.5*(R676+R678)*EXP(-Q52*0.5)</f>
        <v>98.606920450844299</v>
      </c>
      <c r="S677">
        <f t="shared" ref="S677" si="744">0.5*(T676+T678)*EXP(-S52*0.5)</f>
        <v>99.008277631678695</v>
      </c>
      <c r="U677">
        <f t="shared" ref="U677" si="745">0.5*(V676+V678)*EXP(-U52*0.5)</f>
        <v>99.464644088581721</v>
      </c>
      <c r="W677">
        <f t="shared" ref="W677" si="746">0.5*(X676+X678)*EXP(-W52*0.5)</f>
        <v>99.839297858606841</v>
      </c>
    </row>
    <row r="678" spans="5:24" x14ac:dyDescent="0.25">
      <c r="J678">
        <f t="shared" ref="J678" si="747">0.5*(K677+K679)*EXP(-J53*0.5)</f>
        <v>98.386805861013542</v>
      </c>
      <c r="L678">
        <f t="shared" ref="L678" si="748">0.5*(M677+M679)*EXP(-L53*0.5)</f>
        <v>98.568024067550198</v>
      </c>
      <c r="N678">
        <f t="shared" ref="N678" si="749">0.5*(O677+O679)*EXP(-N53*0.5)</f>
        <v>98.700833700187346</v>
      </c>
      <c r="P678">
        <f t="shared" ref="P678" si="750">0.5*(Q677+Q679)*EXP(-P53*0.5)</f>
        <v>98.813949142033678</v>
      </c>
      <c r="R678">
        <f t="shared" ref="R678" si="751">0.5*(S677+S679)*EXP(-R53*0.5)</f>
        <v>99.065719133459865</v>
      </c>
      <c r="T678">
        <f t="shared" ref="T678" si="752">0.5*(U677+U679)*EXP(-T53*0.5)</f>
        <v>99.4209723510928</v>
      </c>
      <c r="V678">
        <f t="shared" ref="V678" si="753">0.5*(W677+W679)*EXP(-V53*0.5)</f>
        <v>99.766794534968014</v>
      </c>
      <c r="X678">
        <v>100</v>
      </c>
    </row>
    <row r="679" spans="5:24" x14ac:dyDescent="0.25">
      <c r="K679">
        <f t="shared" ref="K679" si="754">0.5*(L678+L680)*EXP(-K54*0.5)</f>
        <v>98.854575372303771</v>
      </c>
      <c r="M679">
        <f t="shared" ref="M679" si="755">0.5*(N678+N680)*EXP(-M54*0.5)</f>
        <v>98.962674272510455</v>
      </c>
      <c r="O679">
        <f t="shared" ref="O679" si="756">0.5*(P678+P680)*EXP(-O54*0.5)</f>
        <v>99.048206160761524</v>
      </c>
      <c r="Q679">
        <f t="shared" ref="Q679" si="757">0.5*(R678+R680)*EXP(-Q54*0.5)</f>
        <v>99.148341733265326</v>
      </c>
      <c r="S679">
        <f t="shared" ref="S679" si="758">0.5*(T678+T680)*EXP(-S54*0.5)</f>
        <v>99.258096218480091</v>
      </c>
      <c r="U679">
        <f t="shared" ref="U679" si="759">0.5*(V678+V680)*EXP(-U54*0.5)</f>
        <v>99.691347447670893</v>
      </c>
      <c r="W679">
        <f t="shared" ref="W679" si="760">0.5*(X678+X680)*EXP(-W54*0.5)</f>
        <v>99.904738938855417</v>
      </c>
    </row>
    <row r="680" spans="5:24" x14ac:dyDescent="0.25">
      <c r="L680">
        <f t="shared" ref="L680" si="761">0.5*(M679+M681)*EXP(-L55*0.5)</f>
        <v>99.177881218537891</v>
      </c>
      <c r="N680">
        <f t="shared" ref="N680" si="762">0.5*(O679+O681)*EXP(-N55*0.5)</f>
        <v>99.246888879191687</v>
      </c>
      <c r="P680">
        <f t="shared" ref="P680" si="763">0.5*(Q679+Q681)*EXP(-P55*0.5)</f>
        <v>99.301405367991862</v>
      </c>
      <c r="R680">
        <f t="shared" ref="R680" si="764">0.5*(S679+S681)*EXP(-R55*0.5)</f>
        <v>99.429541418730764</v>
      </c>
      <c r="T680">
        <f t="shared" ref="T680" si="765">0.5*(U679+U681)*EXP(-T55*0.5)</f>
        <v>99.667332499833947</v>
      </c>
      <c r="V680">
        <f t="shared" ref="V680" si="766">0.5*(W679+W681)*EXP(-V55*0.5)</f>
        <v>99.864329918185561</v>
      </c>
      <c r="X680">
        <v>100</v>
      </c>
    </row>
    <row r="681" spans="5:24" x14ac:dyDescent="0.25">
      <c r="M681">
        <f t="shared" ref="M681" si="767">0.5*(N680+N682)*EXP(-M56*0.5)</f>
        <v>99.408913114283038</v>
      </c>
      <c r="O681">
        <f t="shared" ref="O681" si="768">0.5*(P680+P682)*EXP(-O56*0.5)</f>
        <v>99.457019008294708</v>
      </c>
      <c r="Q681">
        <f t="shared" ref="Q681" si="769">0.5*(R680+R682)*EXP(-Q56*0.5)</f>
        <v>99.523156427846288</v>
      </c>
      <c r="S681">
        <f t="shared" ref="S681" si="770">0.5*(T680+T682)*EXP(-S56*0.5)</f>
        <v>99.6736655843319</v>
      </c>
      <c r="U681">
        <f t="shared" ref="U681" si="771">0.5*(V680+V682)*EXP(-U56*0.5)</f>
        <v>99.822067953186604</v>
      </c>
      <c r="W681">
        <f t="shared" ref="W681" si="772">0.5*(X680+X682)*EXP(-W56*0.5)</f>
        <v>99.943538655379328</v>
      </c>
    </row>
    <row r="682" spans="5:24" x14ac:dyDescent="0.25">
      <c r="N682">
        <f t="shared" ref="N682" si="773">0.5*(O681+O683)*EXP(-N57*0.5)</f>
        <v>99.57990054883939</v>
      </c>
      <c r="P682">
        <f t="shared" ref="P682" si="774">0.5*(Q681+Q683)*EXP(-P57*0.5)</f>
        <v>99.620218171471947</v>
      </c>
      <c r="R682">
        <f t="shared" ref="R682" si="775">0.5*(S681+S683)*EXP(-R57*0.5)</f>
        <v>99.723732632151595</v>
      </c>
      <c r="T682">
        <f t="shared" ref="T682" si="776">0.5*(U681+U683)*EXP(-T57*0.5)</f>
        <v>99.808916063062881</v>
      </c>
      <c r="V682">
        <f t="shared" ref="V682" si="777">0.5*(W681+W683)*EXP(-V57*0.5)</f>
        <v>99.921053706303951</v>
      </c>
      <c r="X682">
        <v>100</v>
      </c>
    </row>
    <row r="683" spans="5:24" x14ac:dyDescent="0.25">
      <c r="O683">
        <f t="shared" ref="O683" si="778">0.5*(P682+P684)*EXP(-O58*0.5)</f>
        <v>99.707362814124963</v>
      </c>
      <c r="Q683">
        <f t="shared" ref="Q683" si="779">0.5*(R682+R684)*EXP(-Q58*0.5)</f>
        <v>99.754262146084415</v>
      </c>
      <c r="S683">
        <f t="shared" ref="S683" si="780">0.5*(T682+T684)*EXP(-S58*0.5)</f>
        <v>99.812921023679806</v>
      </c>
      <c r="U683">
        <f t="shared" ref="U683" si="781">0.5*(V682+V684)*EXP(-U58*0.5)</f>
        <v>99.897413682922632</v>
      </c>
      <c r="W683">
        <f t="shared" ref="W683" si="782">0.5*(X682+X684)*EXP(-W58*0.5)</f>
        <v>99.966537940008848</v>
      </c>
    </row>
    <row r="684" spans="5:24" x14ac:dyDescent="0.25">
      <c r="P684">
        <f t="shared" ref="P684" si="783">0.5*(Q683+Q685)*EXP(-P59*0.5)</f>
        <v>99.797540309789284</v>
      </c>
      <c r="R684">
        <f t="shared" ref="R684" si="784">0.5*(S683+S685)*EXP(-R59*0.5)</f>
        <v>99.842327525342625</v>
      </c>
      <c r="T684">
        <f t="shared" ref="T684" si="785">0.5*(U683+U685)*EXP(-T59*0.5)</f>
        <v>99.890239359996286</v>
      </c>
      <c r="V684">
        <f t="shared" ref="V684" si="786">0.5*(W683+W685)*EXP(-V59*0.5)</f>
        <v>99.954046509457243</v>
      </c>
      <c r="X684">
        <v>100</v>
      </c>
    </row>
    <row r="685" spans="5:24" x14ac:dyDescent="0.25">
      <c r="Q685">
        <f t="shared" ref="Q685" si="787">0.5*(R684+R686)*EXP(-Q60*0.5)</f>
        <v>99.860702546490714</v>
      </c>
      <c r="S685">
        <f t="shared" ref="S685" si="788">0.5*(T684+T686)*EXP(-S60*0.5)</f>
        <v>99.892755778735122</v>
      </c>
      <c r="U685">
        <f t="shared" ref="U685" si="789">0.5*(V684+V686)*EXP(-U60*0.5)</f>
        <v>99.940839657312154</v>
      </c>
      <c r="W685">
        <f t="shared" ref="W685" si="790">0.5*(X684+X686)*EXP(-W60*0.5)</f>
        <v>99.980169494888742</v>
      </c>
    </row>
    <row r="686" spans="5:24" x14ac:dyDescent="0.25">
      <c r="R686">
        <f t="shared" ref="R686" si="791">0.5*(S685+S687)*EXP(-R61*0.5)</f>
        <v>99.909989910912458</v>
      </c>
      <c r="T686">
        <f t="shared" ref="T686" si="792">0.5*(U685+U687)*EXP(-T61*0.5)</f>
        <v>99.936942054926817</v>
      </c>
      <c r="V686">
        <f t="shared" ref="V686" si="793">0.5*(W685+W687)*EXP(-V61*0.5)</f>
        <v>99.973241291596423</v>
      </c>
      <c r="X686">
        <v>100</v>
      </c>
    </row>
    <row r="687" spans="5:24" x14ac:dyDescent="0.25">
      <c r="S687">
        <f t="shared" ref="S687" si="794">0.5*(T686+T688)*EXP(-S62*0.5)</f>
        <v>99.938514492526423</v>
      </c>
      <c r="U687">
        <f t="shared" ref="U687" si="795">0.5*(V686+V688)*EXP(-U62*0.5)</f>
        <v>99.965872029897412</v>
      </c>
      <c r="W687">
        <f t="shared" ref="W687" si="796">0.5*(X686+X688)*EXP(-W62*0.5)</f>
        <v>99.98824824260123</v>
      </c>
    </row>
    <row r="688" spans="5:24" x14ac:dyDescent="0.25">
      <c r="T688">
        <f t="shared" ref="T688" si="797">0.5*(U687+U689)*EXP(-T63*0.5)</f>
        <v>99.963763967646813</v>
      </c>
      <c r="V688">
        <f t="shared" ref="V688" si="798">0.5*(W687+W689)*EXP(-V63*0.5)</f>
        <v>99.98441226245383</v>
      </c>
      <c r="X688">
        <v>100</v>
      </c>
    </row>
    <row r="689" spans="17:28" x14ac:dyDescent="0.25">
      <c r="U689">
        <f t="shared" ref="U689" si="799">0.5*(V688+V690)*EXP(-U64*0.5)</f>
        <v>99.980305346818426</v>
      </c>
      <c r="W689">
        <f t="shared" ref="W689" si="800">0.5*(X688+X690)*EXP(-W64*0.5)</f>
        <v>99.993035904624222</v>
      </c>
    </row>
    <row r="690" spans="17:28" x14ac:dyDescent="0.25">
      <c r="V690">
        <f t="shared" ref="V690" si="801">0.5*(W689+W691)*EXP(-V65*0.5)</f>
        <v>99.990915976922111</v>
      </c>
      <c r="X690">
        <v>100</v>
      </c>
    </row>
    <row r="691" spans="17:28" x14ac:dyDescent="0.25">
      <c r="W691">
        <f>0.5*(X690+X692)*EXP(-W66*0.5)</f>
        <v>99.995873114996357</v>
      </c>
    </row>
    <row r="692" spans="17:28" x14ac:dyDescent="0.25">
      <c r="X692">
        <v>100</v>
      </c>
    </row>
    <row r="696" spans="17:28" x14ac:dyDescent="0.25">
      <c r="Y696">
        <v>100</v>
      </c>
      <c r="AA696">
        <f>0.5*LN(X21/X23)/SQRT(0.5)</f>
        <v>0.36999799765915448</v>
      </c>
      <c r="AB696">
        <f>(C25-AA696)^2*100000</f>
        <v>4.0093688616354398E-7</v>
      </c>
    </row>
    <row r="697" spans="17:28" x14ac:dyDescent="0.25">
      <c r="X697">
        <f>0.5*(Y696+Y698)*EXP(-X21*0.5)</f>
        <v>0.32668873312249136</v>
      </c>
      <c r="AB697">
        <f>(D25-A720)^2*100000</f>
        <v>3.7431979880026845E-10</v>
      </c>
    </row>
    <row r="698" spans="17:28" x14ac:dyDescent="0.25">
      <c r="W698">
        <f>0.5*(X697+X699)*EXP(-W22*0.5)</f>
        <v>2.9922697231774851E-2</v>
      </c>
      <c r="Y698">
        <v>100</v>
      </c>
      <c r="AB698">
        <f>AB696+AB697</f>
        <v>4.0131120596234427E-7</v>
      </c>
    </row>
    <row r="699" spans="17:28" x14ac:dyDescent="0.25">
      <c r="V699">
        <f>0.5*(W698+W700)*EXP(-V23*0.5)</f>
        <v>2.3005092511853512E-3</v>
      </c>
      <c r="X699">
        <f t="shared" ref="X699" si="802">0.5*(Y698+Y700)*EXP(-X23*0.5)</f>
        <v>3.3643886766251652</v>
      </c>
    </row>
    <row r="700" spans="17:28" x14ac:dyDescent="0.25">
      <c r="U700">
        <f>0.5*(V699+V701)*EXP(-U24*0.5)</f>
        <v>1.9721934353295645E-4</v>
      </c>
      <c r="W700">
        <f t="shared" ref="W700" si="803">0.5*(X699+X701)*EXP(-W24*0.5)</f>
        <v>0.72865539666375745</v>
      </c>
      <c r="Y700">
        <v>100</v>
      </c>
    </row>
    <row r="701" spans="17:28" x14ac:dyDescent="0.25">
      <c r="T701">
        <f>0.5*(U700+U702)*EXP(-T25*0.5)</f>
        <v>2.4362056703791828E-4</v>
      </c>
      <c r="V701">
        <f t="shared" ref="V701" si="804">0.5*(W700+W702)*EXP(-V25*0.5)</f>
        <v>0.16176317203518525</v>
      </c>
      <c r="X701">
        <f t="shared" ref="X701" si="805">0.5*(Y700+Y702)*EXP(-X25*0.5)</f>
        <v>13.398695717634546</v>
      </c>
    </row>
    <row r="702" spans="17:28" x14ac:dyDescent="0.25">
      <c r="S702">
        <f>0.5*(T701+T703)*EXP(-S26*0.5)</f>
        <v>8.5152131280499094E-4</v>
      </c>
      <c r="U702">
        <f t="shared" ref="U702" si="806">0.5*(V701+V703)*EXP(-U26*0.5)</f>
        <v>3.7212206861623243E-2</v>
      </c>
      <c r="W702">
        <f t="shared" ref="W702" si="807">0.5*(X701+X703)*EXP(-W26*0.5)</f>
        <v>5.148725662416914</v>
      </c>
      <c r="Y702">
        <v>100</v>
      </c>
    </row>
    <row r="703" spans="17:28" x14ac:dyDescent="0.25">
      <c r="R703">
        <f>0.5*(S702+S704)*EXP(-R27*0.5)</f>
        <v>4.0881321814072802E-3</v>
      </c>
      <c r="T703">
        <f t="shared" ref="T703" si="808">0.5*(U702+U704)*EXP(-T27*0.5)</f>
        <v>3.874716556524984E-2</v>
      </c>
      <c r="V703">
        <f t="shared" ref="V703" si="809">0.5*(W702+W704)*EXP(-V27*0.5)</f>
        <v>2.1251482353636857</v>
      </c>
      <c r="X703">
        <f t="shared" ref="X703" si="810">0.5*(Y702+Y704)*EXP(-X27*0.5)</f>
        <v>30.388403094820791</v>
      </c>
    </row>
    <row r="704" spans="17:28" x14ac:dyDescent="0.25">
      <c r="Q704">
        <f>0.5*(R703+R705)*EXP(-Q28*0.5)</f>
        <v>3.7173895747681135E-3</v>
      </c>
      <c r="S704">
        <f t="shared" ref="S704" si="811">0.5*(T703+T705)*EXP(-S28*0.5)</f>
        <v>7.4356675545947298E-2</v>
      </c>
      <c r="U704">
        <f t="shared" ref="U704" si="812">0.5*(V703+V705)*EXP(-U28*0.5)</f>
        <v>0.87485992972091231</v>
      </c>
      <c r="W704">
        <f t="shared" ref="W704" si="813">0.5*(X703+X705)*EXP(-W28*0.5)</f>
        <v>16.913539643105089</v>
      </c>
      <c r="Y704">
        <v>100</v>
      </c>
    </row>
    <row r="705" spans="1:25" x14ac:dyDescent="0.25">
      <c r="P705">
        <f>0.5*(Q704+Q706)*EXP(-P29*0.5)</f>
        <v>3.2360254784682387E-2</v>
      </c>
      <c r="R705">
        <f t="shared" ref="R705" si="814">0.5*(S704+S706)*EXP(-R29*0.5)</f>
        <v>0.19003583143778419</v>
      </c>
      <c r="T705">
        <f t="shared" ref="T705" si="815">0.5*(U704+U706)*EXP(-T29*0.5)</f>
        <v>0.8415728750173509</v>
      </c>
      <c r="V705">
        <f t="shared" ref="V705" si="816">0.5*(W704+W706)*EXP(-V29*0.5)</f>
        <v>10.116620456713102</v>
      </c>
      <c r="X705">
        <f t="shared" ref="X705" si="817">0.5*(Y704+Y706)*EXP(-X29*0.5)</f>
        <v>49.369529237546928</v>
      </c>
    </row>
    <row r="706" spans="1:25" x14ac:dyDescent="0.25">
      <c r="O706">
        <f>0.5*(P705+P707)*EXP(-O30*0.5)</f>
        <v>9.477165650314701E-4</v>
      </c>
      <c r="Q706">
        <f t="shared" ref="Q706" si="818">0.5*(R705+R707)*EXP(-Q30*0.5)</f>
        <v>0.19605125196727766</v>
      </c>
      <c r="S706">
        <f t="shared" ref="S706" si="819">0.5*(T705+T707)*EXP(-S30*0.5)</f>
        <v>1.1762509230021692</v>
      </c>
      <c r="U706">
        <f t="shared" ref="U706" si="820">0.5*(V705+V707)*EXP(-U30*0.5)</f>
        <v>5.9529512859555611</v>
      </c>
      <c r="W706">
        <f t="shared" ref="W706" si="821">0.5*(X705+X707)*EXP(-W30*0.5)</f>
        <v>34.644411708564149</v>
      </c>
      <c r="Y706">
        <v>100</v>
      </c>
    </row>
    <row r="707" spans="1:25" x14ac:dyDescent="0.25">
      <c r="N707">
        <f>0.5*(O706+O708)*EXP(-N31*0.5)</f>
        <v>3.4636919592480413E-3</v>
      </c>
      <c r="P707">
        <f t="shared" ref="P707" si="822">0.5*(Q706+Q708)*EXP(-P31*0.5)</f>
        <v>0.66267702143438822</v>
      </c>
      <c r="R707">
        <f t="shared" ref="R707" si="823">0.5*(S706+S708)*EXP(-R31*0.5)</f>
        <v>2.0686214208563598</v>
      </c>
      <c r="T707">
        <f t="shared" ref="T707" si="824">0.5*(U706+U708)*EXP(-T31*0.5)</f>
        <v>5.6174750684817116</v>
      </c>
      <c r="V707">
        <f t="shared" ref="V707" si="825">0.5*(W706+W708)*EXP(-V31*0.5)</f>
        <v>25.827422029092197</v>
      </c>
      <c r="X707">
        <f t="shared" ref="X707" si="826">0.5*(Y706+Y708)*EXP(-X31*0.5)</f>
        <v>65.818431230225087</v>
      </c>
    </row>
    <row r="708" spans="1:25" x14ac:dyDescent="0.25">
      <c r="M708">
        <f>0.5*(N707+N709)*EXP(-M32*0.5)</f>
        <v>1.5226943835037577E-2</v>
      </c>
      <c r="O708">
        <f t="shared" ref="O708" si="827">0.5*(P707+P709)*EXP(-O32*0.5)</f>
        <v>0.24292450991259293</v>
      </c>
      <c r="Q708">
        <f t="shared" ref="Q708" si="828">0.5*(R707+R709)*EXP(-Q32*0.5)</f>
        <v>2.230866337317404</v>
      </c>
      <c r="S708">
        <f t="shared" ref="S708" si="829">0.5*(T707+T709)*EXP(-S32*0.5)</f>
        <v>6.6641704629362568</v>
      </c>
      <c r="U708">
        <f t="shared" ref="U708" si="830">0.5*(V707+V709)*EXP(-U32*0.5)</f>
        <v>18.934935724651893</v>
      </c>
      <c r="W708">
        <f t="shared" ref="W708" si="831">0.5*(X707+X709)*EXP(-W32*0.5)</f>
        <v>53.225039786792159</v>
      </c>
      <c r="Y708">
        <v>100</v>
      </c>
    </row>
    <row r="709" spans="1:25" x14ac:dyDescent="0.25">
      <c r="L709">
        <f>0.5*(M708+M710)*EXP(-L33*0.5)</f>
        <v>7.2424796279044593E-2</v>
      </c>
      <c r="N709">
        <f t="shared" ref="N709" si="832">0.5*(O708+O710)*EXP(-N33*0.5)</f>
        <v>0.48930644921941457</v>
      </c>
      <c r="P709">
        <f t="shared" ref="P709" si="833">0.5*(Q708+Q710)*EXP(-P33*0.5)</f>
        <v>4.4565011950857629</v>
      </c>
      <c r="R709">
        <f t="shared" ref="R709" si="834">0.5*(S708+S710)*EXP(-R33*0.5)</f>
        <v>9.3513054329595313</v>
      </c>
      <c r="T709">
        <f t="shared" ref="T709" si="835">0.5*(U708+U710)*EXP(-T33*0.5)</f>
        <v>18.036818258441031</v>
      </c>
      <c r="V709">
        <f t="shared" ref="V709" si="836">0.5*(W708+W710)*EXP(-V33*0.5)</f>
        <v>45.104683248962836</v>
      </c>
      <c r="X709">
        <f t="shared" ref="X709" si="837">0.5*(Y708+Y710)*EXP(-X33*0.5)</f>
        <v>78.046773841180922</v>
      </c>
    </row>
    <row r="710" spans="1:25" x14ac:dyDescent="0.25">
      <c r="K710">
        <f>0.5*(L709+L711)*EXP(-K34*0.5)</f>
        <v>0.72245889279474373</v>
      </c>
      <c r="M710">
        <f t="shared" ref="M710" si="838">0.5*(N709+N711)*EXP(-M34*0.5)</f>
        <v>1.0180156567086271</v>
      </c>
      <c r="O710">
        <f t="shared" ref="O710" si="839">0.5*(P709+P711)*EXP(-O34*0.5)</f>
        <v>3.8068149976528161</v>
      </c>
      <c r="Q710">
        <f t="shared" ref="Q710" si="840">0.5*(R709+R711)*EXP(-Q34*0.5)</f>
        <v>10.101212116387265</v>
      </c>
      <c r="S710">
        <f t="shared" ref="S710" si="841">0.5*(T709+T711)*EXP(-S34*0.5)</f>
        <v>19.69396556060881</v>
      </c>
      <c r="U710">
        <f t="shared" ref="U710" si="842">0.5*(V709+V711)*EXP(-U34*0.5)</f>
        <v>37.73811052088513</v>
      </c>
      <c r="W710">
        <f t="shared" ref="W710" si="843">0.5*(X709+X711)*EXP(-W34*0.5)</f>
        <v>68.757517839890511</v>
      </c>
      <c r="Y710">
        <v>100</v>
      </c>
    </row>
    <row r="711" spans="1:25" x14ac:dyDescent="0.25">
      <c r="J711">
        <f>0.5*(K710+K712)*EXP(-J35*0.5)</f>
        <v>2.3403799946339019</v>
      </c>
      <c r="L711">
        <f t="shared" ref="L711" si="844">0.5*(M710+M712)*EXP(-L35*0.5)</f>
        <v>2.1798251362448742</v>
      </c>
      <c r="N711">
        <f t="shared" ref="N711" si="845">0.5*(O710+O712)*EXP(-N35*0.5)</f>
        <v>5.6903092717543489</v>
      </c>
      <c r="P711">
        <f t="shared" ref="P711" si="846">0.5*(Q710+Q712)*EXP(-P35*0.5)</f>
        <v>15.018007944137032</v>
      </c>
      <c r="R711">
        <f t="shared" ref="R711" si="847">0.5*(S710+S712)*EXP(-R35*0.5)</f>
        <v>24.104903486530507</v>
      </c>
      <c r="T711">
        <f t="shared" ref="T711" si="848">0.5*(U710+U712)*EXP(-T35*0.5)</f>
        <v>36.521873084005662</v>
      </c>
      <c r="V711">
        <f t="shared" ref="V711" si="849">0.5*(W710+W712)*EXP(-V35*0.5)</f>
        <v>62.693141874037785</v>
      </c>
      <c r="X711">
        <f t="shared" ref="X711" si="850">0.5*(Y710+Y712)*EXP(-X35*0.5)</f>
        <v>86.339763981810009</v>
      </c>
    </row>
    <row r="712" spans="1:25" x14ac:dyDescent="0.25">
      <c r="I712">
        <f>0.5*(J711+J713)*EXP(-I36*0.5)</f>
        <v>5.6829690920407234</v>
      </c>
      <c r="K712">
        <f t="shared" ref="K712" si="851">0.5*(L711+L713)*EXP(-K36*0.5)</f>
        <v>6.1039697621058213</v>
      </c>
      <c r="M712">
        <f t="shared" ref="M712" si="852">0.5*(N711+N713)*EXP(-M36*0.5)</f>
        <v>8.5266453192685443</v>
      </c>
      <c r="O712">
        <f t="shared" ref="O712" si="853">0.5*(P711+P713)*EXP(-O36*0.5)</f>
        <v>16.245570262443916</v>
      </c>
      <c r="Q712">
        <f t="shared" ref="Q712" si="854">0.5*(R711+R713)*EXP(-Q36*0.5)</f>
        <v>25.653089790364408</v>
      </c>
      <c r="S712">
        <f t="shared" ref="S712" si="855">0.5*(T711+T713)*EXP(-S36*0.5)</f>
        <v>38.26429855031914</v>
      </c>
      <c r="U712">
        <f t="shared" ref="U712" si="856">0.5*(V711+V713)*EXP(-U36*0.5)</f>
        <v>56.670428831807627</v>
      </c>
      <c r="W712">
        <f t="shared" ref="W712" si="857">0.5*(X711+X713)*EXP(-W36*0.5)</f>
        <v>80.069020469677923</v>
      </c>
      <c r="Y712">
        <v>100</v>
      </c>
    </row>
    <row r="713" spans="1:25" x14ac:dyDescent="0.25">
      <c r="H713">
        <f>0.5*(I712+I714)*EXP(-H37*0.5)</f>
        <v>10.387657152796429</v>
      </c>
      <c r="J713">
        <f t="shared" ref="J713" si="858">0.5*(K712+K714)*EXP(-J37*0.5)</f>
        <v>11.356459420857831</v>
      </c>
      <c r="L713">
        <f t="shared" ref="L713" si="859">0.5*(M712+M714)*EXP(-L37*0.5)</f>
        <v>12.789559212979736</v>
      </c>
      <c r="N713">
        <f t="shared" ref="N713" si="860">0.5*(O712+O714)*EXP(-N37*0.5)</f>
        <v>20.862545514666468</v>
      </c>
      <c r="P713">
        <f t="shared" ref="P713" si="861">0.5*(Q712+Q714)*EXP(-P37*0.5)</f>
        <v>32.235532255288653</v>
      </c>
      <c r="R713">
        <f t="shared" ref="R713" si="862">0.5*(S712+S714)*EXP(-R37*0.5)</f>
        <v>43.154612836902906</v>
      </c>
      <c r="T713">
        <f t="shared" ref="T713" si="863">0.5*(U712+U714)*EXP(-T37*0.5)</f>
        <v>55.563798979894663</v>
      </c>
      <c r="V713">
        <f t="shared" ref="V713" si="864">0.5*(W712+W714)*EXP(-V37*0.5)</f>
        <v>76.080910706094926</v>
      </c>
      <c r="X713">
        <f t="shared" ref="X713" si="865">0.5*(Y712+Y714)*EXP(-X37*0.5)</f>
        <v>91.664110927171222</v>
      </c>
    </row>
    <row r="714" spans="1:25" x14ac:dyDescent="0.25">
      <c r="G714">
        <f>0.5*(H713+H715)*EXP(-G38*0.5)</f>
        <v>17.240116837061091</v>
      </c>
      <c r="I714">
        <f t="shared" ref="I714" si="866">0.5*(J713+J715)*EXP(-I38*0.5)</f>
        <v>18.61486930218188</v>
      </c>
      <c r="K714">
        <f t="shared" ref="K714" si="867">0.5*(L713+L715)*EXP(-K38*0.5)</f>
        <v>20.908193833402471</v>
      </c>
      <c r="M714">
        <f t="shared" ref="M714" si="868">0.5*(N713+N715)*EXP(-M38*0.5)</f>
        <v>26.436318161175919</v>
      </c>
      <c r="O714">
        <f t="shared" ref="O714" si="869">0.5*(P713+P715)*EXP(-O38*0.5)</f>
        <v>36.055153873568628</v>
      </c>
      <c r="Q714">
        <f t="shared" ref="Q714" si="870">0.5*(R713+R715)*EXP(-Q38*0.5)</f>
        <v>45.139537083737345</v>
      </c>
      <c r="S714">
        <f t="shared" ref="S714" si="871">0.5*(T713+T715)*EXP(-S38*0.5)</f>
        <v>57.012060624814545</v>
      </c>
      <c r="U714">
        <f t="shared" ref="U714" si="872">0.5*(V713+V715)*EXP(-U38*0.5)</f>
        <v>71.890763542516822</v>
      </c>
      <c r="W714">
        <f t="shared" ref="W714" si="873">0.5*(X713+X715)*EXP(-W38*0.5)</f>
        <v>87.649088742813163</v>
      </c>
      <c r="Y714">
        <v>100</v>
      </c>
    </row>
    <row r="715" spans="1:25" x14ac:dyDescent="0.25">
      <c r="F715">
        <f>0.5*(G714+G716)*EXP(-F39*0.5)</f>
        <v>25.07043079080449</v>
      </c>
      <c r="H715">
        <f t="shared" ref="H715" si="874">0.5*(I714+I716)*EXP(-H39*0.5)</f>
        <v>26.520964936933858</v>
      </c>
      <c r="J715">
        <f t="shared" ref="J715" si="875">0.5*(K714+K716)*EXP(-J39*0.5)</f>
        <v>29.204569424929517</v>
      </c>
      <c r="L715">
        <f t="shared" ref="L715" si="876">0.5*(M714+M716)*EXP(-L39*0.5)</f>
        <v>33.1336642236299</v>
      </c>
      <c r="N715">
        <f t="shared" ref="N715" si="877">0.5*(O714+O716)*EXP(-N39*0.5)</f>
        <v>42.22240008282035</v>
      </c>
      <c r="P715">
        <f t="shared" ref="P715" si="878">0.5*(Q714+Q716)*EXP(-P39*0.5)</f>
        <v>51.492998485972244</v>
      </c>
      <c r="R715">
        <f t="shared" ref="R715" si="879">0.5*(S714+S716)*EXP(-R39*0.5)</f>
        <v>61.244898143220674</v>
      </c>
      <c r="T715">
        <f t="shared" ref="T715" si="880">0.5*(U714+U716)*EXP(-T39*0.5)</f>
        <v>71.097398091009723</v>
      </c>
      <c r="V715">
        <f t="shared" ref="V715" si="881">0.5*(W714+W716)*EXP(-V39*0.5)</f>
        <v>85.221212057828353</v>
      </c>
      <c r="X715">
        <f t="shared" ref="X715" si="882">0.5*(Y714+Y716)*EXP(-X39*0.5)</f>
        <v>94.972918368488806</v>
      </c>
    </row>
    <row r="716" spans="1:25" x14ac:dyDescent="0.25">
      <c r="E716">
        <f>0.5*(F715+F717)*EXP(-E40*0.5)</f>
        <v>33.800929532374909</v>
      </c>
      <c r="G716">
        <f t="shared" ref="G716" si="883">0.5*(H715+H717)*EXP(-G40*0.5)</f>
        <v>35.546391326646706</v>
      </c>
      <c r="I716">
        <f t="shared" ref="I716" si="884">0.5*(J715+J717)*EXP(-I40*0.5)</f>
        <v>38.38426027922155</v>
      </c>
      <c r="K716">
        <f t="shared" ref="K716" si="885">0.5*(L715+L717)*EXP(-K40*0.5)</f>
        <v>42.342887909800453</v>
      </c>
      <c r="M716">
        <f t="shared" ref="M716" si="886">0.5*(N715+N717)*EXP(-M40*0.5)</f>
        <v>48.627153935352375</v>
      </c>
      <c r="O716">
        <f t="shared" ref="O716" si="887">0.5*(P715+P717)*EXP(-O40*0.5)</f>
        <v>56.351140125345971</v>
      </c>
      <c r="Q716">
        <f t="shared" ref="Q716" si="888">0.5*(R715+R717)*EXP(-Q40*0.5)</f>
        <v>63.148877615367262</v>
      </c>
      <c r="S716">
        <f t="shared" ref="S716" si="889">0.5*(T715+T717)*EXP(-S40*0.5)</f>
        <v>72.151726951220937</v>
      </c>
      <c r="U716">
        <f t="shared" ref="U716" si="890">0.5*(V715+V717)*EXP(-U40*0.5)</f>
        <v>82.573993816505819</v>
      </c>
      <c r="W716">
        <f t="shared" ref="W716" si="891">0.5*(X715+X717)*EXP(-W40*0.5)</f>
        <v>92.481821690612136</v>
      </c>
      <c r="Y716">
        <v>100</v>
      </c>
    </row>
    <row r="717" spans="1:25" x14ac:dyDescent="0.25">
      <c r="D717">
        <f>0.5*(E716+E718)*EXP(-D41*0.5)</f>
        <v>42.43550064018001</v>
      </c>
      <c r="F717">
        <f t="shared" ref="F717" si="892">0.5*(G716+G718)*EXP(-F41*0.5)</f>
        <v>44.36604979631111</v>
      </c>
      <c r="H717">
        <f t="shared" ref="H717" si="893">0.5*(I716+I718)*EXP(-H41*0.5)</f>
        <v>46.998011647407388</v>
      </c>
      <c r="J717">
        <f t="shared" ref="J717" si="894">0.5*(K716+K718)*EXP(-J41*0.5)</f>
        <v>50.646707847213968</v>
      </c>
      <c r="L717">
        <f t="shared" ref="L717" si="895">0.5*(M716+M718)*EXP(-L41*0.5)</f>
        <v>55.276430598799124</v>
      </c>
      <c r="N717">
        <f t="shared" ref="N717" si="896">0.5*(O716+O718)*EXP(-N41*0.5)</f>
        <v>62.12855867579907</v>
      </c>
      <c r="P717">
        <f t="shared" ref="P717" si="897">0.5*(Q716+Q718)*EXP(-P41*0.5)</f>
        <v>68.127807056155333</v>
      </c>
      <c r="R717">
        <f t="shared" ref="R717" si="898">0.5*(S716+S718)*EXP(-R41*0.5)</f>
        <v>75.29816778986455</v>
      </c>
      <c r="T717">
        <f t="shared" ref="T717" si="899">0.5*(U716+U718)*EXP(-T41*0.5)</f>
        <v>82.082863528629602</v>
      </c>
      <c r="V717">
        <f t="shared" ref="V717" si="900">0.5*(W716+W718)*EXP(-V41*0.5)</f>
        <v>91.072179419832864</v>
      </c>
      <c r="X717">
        <f t="shared" ref="X717" si="901">0.5*(Y716+Y718)*EXP(-X41*0.5)</f>
        <v>96.989764388397504</v>
      </c>
    </row>
    <row r="718" spans="1:25" x14ac:dyDescent="0.25">
      <c r="C718">
        <f>0.5*(D717+D719)*EXP(-C42*0.5)</f>
        <v>50.832588644941566</v>
      </c>
      <c r="E718">
        <f t="shared" ref="E718" si="902">0.5*(F717+F719)*EXP(-E42*0.5)</f>
        <v>52.968701786977171</v>
      </c>
      <c r="G718">
        <f t="shared" ref="G718" si="903">0.5*(H717+H719)*EXP(-G42*0.5)</f>
        <v>55.464119257546905</v>
      </c>
      <c r="I718">
        <f t="shared" ref="I718" si="904">0.5*(J717+J719)*EXP(-I42*0.5)</f>
        <v>58.770807385869283</v>
      </c>
      <c r="K718">
        <f t="shared" ref="K718" si="905">0.5*(L717+L719)*EXP(-K42*0.5)</f>
        <v>62.725197235648686</v>
      </c>
      <c r="M718">
        <f t="shared" ref="M718" si="906">0.5*(N717+N719)*EXP(-M42*0.5)</f>
        <v>67.55994241495398</v>
      </c>
      <c r="O718">
        <f t="shared" ref="O718" si="907">0.5*(P717+P719)*EXP(-O42*0.5)</f>
        <v>72.452061201203904</v>
      </c>
      <c r="Q718">
        <f t="shared" ref="Q718" si="908">0.5*(R717+R719)*EXP(-Q42*0.5)</f>
        <v>76.828302872627219</v>
      </c>
      <c r="S718">
        <f t="shared" ref="S718" si="909">0.5*(T717+T719)*EXP(-S42*0.5)</f>
        <v>82.794571380439606</v>
      </c>
      <c r="U718">
        <f t="shared" ref="U718" si="910">0.5*(V717+V719)*EXP(-U42*0.5)</f>
        <v>89.493406540905625</v>
      </c>
      <c r="W718">
        <f t="shared" ref="W718" si="911">0.5*(X717+X719)*EXP(-W42*0.5)</f>
        <v>95.472800385305277</v>
      </c>
      <c r="Y718">
        <v>100</v>
      </c>
    </row>
    <row r="719" spans="1:25" x14ac:dyDescent="0.25">
      <c r="B719">
        <f>0.5*(C718+C720)*EXP(-B43*0.5)</f>
        <v>58.638593098995727</v>
      </c>
      <c r="D719">
        <f t="shared" ref="D719" si="912">0.5*(E718+E720)*EXP(-D43*0.5)</f>
        <v>60.618575564144621</v>
      </c>
      <c r="F719">
        <f t="shared" ref="F719" si="913">0.5*(G718+G720)*EXP(-F43*0.5)</f>
        <v>62.979303809592707</v>
      </c>
      <c r="H719">
        <f t="shared" ref="H719" si="914">0.5*(I718+I720)*EXP(-H43*0.5)</f>
        <v>65.780943930507703</v>
      </c>
      <c r="J719">
        <f t="shared" ref="J719" si="915">0.5*(K718+K720)*EXP(-J43*0.5)</f>
        <v>69.040278268671628</v>
      </c>
      <c r="L719">
        <f t="shared" ref="L719" si="916">0.5*(M718+M720)*EXP(-L43*0.5)</f>
        <v>72.67908007517822</v>
      </c>
      <c r="N719">
        <f t="shared" ref="N719" si="917">0.5*(O718+O720)*EXP(-N43*0.5)</f>
        <v>76.840554764226098</v>
      </c>
      <c r="P719">
        <f t="shared" ref="P719" si="918">0.5*(Q718+Q720)*EXP(-P43*0.5)</f>
        <v>80.260563992602258</v>
      </c>
      <c r="R719">
        <f t="shared" ref="R719" si="919">0.5*(S718+S720)*EXP(-R43*0.5)</f>
        <v>84.927678413423422</v>
      </c>
      <c r="T719">
        <f t="shared" ref="T719" si="920">0.5*(U718+U720)*EXP(-T43*0.5)</f>
        <v>89.217038685731836</v>
      </c>
      <c r="V719">
        <f t="shared" ref="V719" si="921">0.5*(W718+W720)*EXP(-V43*0.5)</f>
        <v>94.678428491692159</v>
      </c>
      <c r="X719">
        <f t="shared" ref="X719" si="922">0.5*(Y718+Y720)*EXP(-X43*0.5)</f>
        <v>98.20507519040514</v>
      </c>
    </row>
    <row r="720" spans="1:25" x14ac:dyDescent="0.25">
      <c r="A720">
        <f>0.5*(B719+B721)*EXP(-A44*0.5)</f>
        <v>65.81515868280988</v>
      </c>
      <c r="C720">
        <f t="shared" ref="C720" si="923">0.5*(D719+D721)*EXP(-C44*0.5)</f>
        <v>67.472014662844074</v>
      </c>
      <c r="E720">
        <f t="shared" ref="E720" si="924">0.5*(F719+F721)*EXP(-E44*0.5)</f>
        <v>69.716699538772602</v>
      </c>
      <c r="G720">
        <f t="shared" ref="G720" si="925">0.5*(H719+H721)*EXP(-G44*0.5)</f>
        <v>72.078969810187616</v>
      </c>
      <c r="I720">
        <f t="shared" ref="I720" si="926">0.5*(J719+J721)*EXP(-I44*0.5)</f>
        <v>74.804240705993649</v>
      </c>
      <c r="K720">
        <f t="shared" ref="K720" si="927">0.5*(L719+L721)*EXP(-K44*0.5)</f>
        <v>77.695890309734139</v>
      </c>
      <c r="M720">
        <f t="shared" ref="M720" si="928">0.5*(N719+N721)*EXP(-M44*0.5)</f>
        <v>80.708645581059969</v>
      </c>
      <c r="O720">
        <f t="shared" ref="O720" si="929">0.5*(P719+P721)*EXP(-O44*0.5)</f>
        <v>83.447274835207793</v>
      </c>
      <c r="Q720">
        <f t="shared" ref="Q720" si="930">0.5*(R719+R721)*EXP(-Q44*0.5)</f>
        <v>86.031350072039444</v>
      </c>
      <c r="S720">
        <f t="shared" ref="S720" si="931">0.5*(T719+T721)*EXP(-S44*0.5)</f>
        <v>89.676763357451492</v>
      </c>
      <c r="U720">
        <f t="shared" ref="U720" si="932">0.5*(V719+V721)*EXP(-U44*0.5)</f>
        <v>93.769067770382549</v>
      </c>
      <c r="W720">
        <f t="shared" ref="W720" si="933">0.5*(X719+X721)*EXP(-W44*0.5)</f>
        <v>97.291503763407903</v>
      </c>
      <c r="Y720">
        <v>100</v>
      </c>
    </row>
    <row r="721" spans="2:25" x14ac:dyDescent="0.25">
      <c r="B721">
        <f>0.5*(C720+C722)*EXP(-B45*0.5)</f>
        <v>73.426821830059296</v>
      </c>
      <c r="D721">
        <f t="shared" ref="D721" si="934">0.5*(E720+E722)*EXP(-D45*0.5)</f>
        <v>75.311831762880701</v>
      </c>
      <c r="F721">
        <f t="shared" ref="F721" si="935">0.5*(G720+G722)*EXP(-F45*0.5)</f>
        <v>77.364755667545623</v>
      </c>
      <c r="H721">
        <f t="shared" ref="H721" si="936">0.5*(I720+I722)*EXP(-H45*0.5)</f>
        <v>79.557910768003467</v>
      </c>
      <c r="J721">
        <f t="shared" ref="J721" si="937">0.5*(K720+K722)*EXP(-J45*0.5)</f>
        <v>81.816556969375114</v>
      </c>
      <c r="L721">
        <f t="shared" ref="L721" si="938">0.5*(M720+M722)*EXP(-L45*0.5)</f>
        <v>84.130632467509145</v>
      </c>
      <c r="N721">
        <f t="shared" ref="N721" si="939">0.5*(O720+O722)*EXP(-N45*0.5)</f>
        <v>86.395202512560985</v>
      </c>
      <c r="P721">
        <f t="shared" ref="P721" si="940">0.5*(Q720+Q722)*EXP(-P45*0.5)</f>
        <v>88.223041568031093</v>
      </c>
      <c r="R721">
        <f t="shared" ref="R721" si="941">0.5*(S720+S722)*EXP(-R45*0.5)</f>
        <v>91.045013217102166</v>
      </c>
      <c r="T721">
        <f t="shared" ref="T721" si="942">0.5*(U720+U722)*EXP(-T45*0.5)</f>
        <v>93.623897844491708</v>
      </c>
      <c r="V721">
        <f t="shared" ref="V721" si="943">0.5*(W720+W722)*EXP(-V45*0.5)</f>
        <v>96.852604981919228</v>
      </c>
      <c r="X721">
        <f t="shared" ref="X721" si="944">0.5*(Y720+Y722)*EXP(-X45*0.5)</f>
        <v>98.932427199848632</v>
      </c>
    </row>
    <row r="722" spans="2:25" x14ac:dyDescent="0.25">
      <c r="C722">
        <f t="shared" ref="C722" si="945">0.5*(D721+D723)*EXP(-C46*0.5)</f>
        <v>80.070753700080374</v>
      </c>
      <c r="E722">
        <f t="shared" ref="E722" si="946">0.5*(F721+F723)*EXP(-E46*0.5)</f>
        <v>81.870046464069716</v>
      </c>
      <c r="G722">
        <f t="shared" ref="G722" si="947">0.5*(H721+H723)*EXP(-G46*0.5)</f>
        <v>83.607210951869376</v>
      </c>
      <c r="I722">
        <f t="shared" ref="I722" si="948">0.5*(J721+J723)*EXP(-I46*0.5)</f>
        <v>85.425551141805158</v>
      </c>
      <c r="K722">
        <f t="shared" ref="K722" si="949">0.5*(L721+L723)*EXP(-K46*0.5)</f>
        <v>87.205675789122779</v>
      </c>
      <c r="M722">
        <f t="shared" ref="M722" si="950">0.5*(N721+N723)*EXP(-M46*0.5)</f>
        <v>88.888251067598318</v>
      </c>
      <c r="O722">
        <f t="shared" ref="O722" si="951">0.5*(P721+P723)*EXP(-O46*0.5)</f>
        <v>90.333530522349662</v>
      </c>
      <c r="Q722">
        <f t="shared" ref="Q722" si="952">0.5*(R721+R723)*EXP(-Q46*0.5)</f>
        <v>91.789796516365811</v>
      </c>
      <c r="S722">
        <f t="shared" ref="S722" si="953">0.5*(T721+T723)*EXP(-S46*0.5)</f>
        <v>93.913152237483843</v>
      </c>
      <c r="U722">
        <f t="shared" ref="U722" si="954">0.5*(V721+V723)*EXP(-U46*0.5)</f>
        <v>96.33996699928484</v>
      </c>
      <c r="W722">
        <f t="shared" ref="W722" si="955">0.5*(X721+X723)*EXP(-W46*0.5)</f>
        <v>98.38584868587516</v>
      </c>
      <c r="Y722">
        <v>100</v>
      </c>
    </row>
    <row r="723" spans="2:25" x14ac:dyDescent="0.25">
      <c r="D723">
        <f t="shared" ref="D723" si="956">0.5*(E722+E724)*EXP(-D47*0.5)</f>
        <v>85.456894273072294</v>
      </c>
      <c r="F723">
        <f t="shared" ref="F723" si="957">0.5*(G722+G724)*EXP(-F47*0.5)</f>
        <v>86.901760370094308</v>
      </c>
      <c r="H723">
        <f t="shared" ref="H723" si="958">0.5*(I722+I724)*EXP(-H47*0.5)</f>
        <v>88.330514681193293</v>
      </c>
      <c r="J723">
        <f t="shared" ref="J723" si="959">0.5*(K722+K724)*EXP(-J47*0.5)</f>
        <v>89.688008947563517</v>
      </c>
      <c r="L723">
        <f t="shared" ref="L723" si="960">0.5*(M722+M724)*EXP(-L47*0.5)</f>
        <v>91.010063604157423</v>
      </c>
      <c r="N723">
        <f t="shared" ref="N723" si="961">0.5*(O722+O724)*EXP(-N47*0.5)</f>
        <v>92.177357752163928</v>
      </c>
      <c r="P723">
        <f t="shared" ref="P723" si="962">0.5*(Q722+Q724)*EXP(-P47*0.5)</f>
        <v>93.128114744631318</v>
      </c>
      <c r="R723">
        <f t="shared" ref="R723" si="963">0.5*(S722+S724)*EXP(-R47*0.5)</f>
        <v>94.762018231549163</v>
      </c>
      <c r="T723">
        <f t="shared" ref="T723" si="964">0.5*(U722+U724)*EXP(-T47*0.5)</f>
        <v>96.268092642227458</v>
      </c>
      <c r="V723">
        <f t="shared" ref="V723" si="965">0.5*(W722+W724)*EXP(-V47*0.5)</f>
        <v>98.146747638535672</v>
      </c>
      <c r="X723">
        <f t="shared" ref="X723" si="966">0.5*(Y722+Y724)*EXP(-X47*0.5)</f>
        <v>99.365986630822718</v>
      </c>
    </row>
    <row r="724" spans="2:25" x14ac:dyDescent="0.25">
      <c r="E724">
        <f t="shared" ref="E724" si="967">0.5*(F723+F725)*EXP(-E48*0.5)</f>
        <v>89.629427584854454</v>
      </c>
      <c r="G724">
        <f t="shared" ref="G724" si="968">0.5*(H723+H725)*EXP(-G48*0.5)</f>
        <v>90.725334482058628</v>
      </c>
      <c r="I724">
        <f t="shared" ref="I724" si="969">0.5*(J723+J725)*EXP(-I48*0.5)</f>
        <v>91.802603895337995</v>
      </c>
      <c r="K724">
        <f t="shared" ref="K724" si="970">0.5*(L723+L725)*EXP(-K48*0.5)</f>
        <v>92.807809730315753</v>
      </c>
      <c r="M724">
        <f t="shared" ref="M724" si="971">0.5*(N723+N725)*EXP(-M48*0.5)</f>
        <v>93.706743979932199</v>
      </c>
      <c r="O724">
        <f t="shared" ref="O724" si="972">0.5*(P723+P725)*EXP(-O48*0.5)</f>
        <v>94.441890749925847</v>
      </c>
      <c r="Q724">
        <f t="shared" ref="Q724" si="973">0.5*(R723+R725)*EXP(-Q48*0.5)</f>
        <v>95.244108419002956</v>
      </c>
      <c r="S724">
        <f t="shared" ref="S724" si="974">0.5*(T723+T725)*EXP(-S48*0.5)</f>
        <v>96.447199263223908</v>
      </c>
      <c r="U724">
        <f t="shared" ref="U724" si="975">0.5*(V723+V725)*EXP(-U48*0.5)</f>
        <v>97.861739445274438</v>
      </c>
      <c r="W724">
        <f t="shared" ref="W724" si="976">0.5*(X723+X725)*EXP(-W48*0.5)</f>
        <v>99.040248484812764</v>
      </c>
      <c r="Y724">
        <v>100</v>
      </c>
    </row>
    <row r="725" spans="2:25" x14ac:dyDescent="0.25">
      <c r="F725">
        <f t="shared" ref="F725" si="977">0.5*(G724+G726)*EXP(-F49*0.5)</f>
        <v>92.641026914079745</v>
      </c>
      <c r="H725">
        <f t="shared" ref="H725" si="978">0.5*(I724+I726)*EXP(-H49*0.5)</f>
        <v>93.480410365032157</v>
      </c>
      <c r="J725">
        <f t="shared" ref="J725" si="979">0.5*(K724+K726)*EXP(-J49*0.5)</f>
        <v>94.239482944112481</v>
      </c>
      <c r="L725">
        <f t="shared" ref="L725" si="980">0.5*(M724+M726)*EXP(-L49*0.5)</f>
        <v>94.961744824600473</v>
      </c>
      <c r="N725">
        <f t="shared" ref="N725" si="981">0.5*(O724+O726)*EXP(-N49*0.5)</f>
        <v>95.570377059826654</v>
      </c>
      <c r="P725">
        <f t="shared" ref="P725" si="982">0.5*(Q724+Q726)*EXP(-P49*0.5)</f>
        <v>96.040583329074266</v>
      </c>
      <c r="R725">
        <f t="shared" ref="R725" si="983">0.5*(S724+S726)*EXP(-R49*0.5)</f>
        <v>96.963266231363548</v>
      </c>
      <c r="T725">
        <f t="shared" ref="T725" si="984">0.5*(U724+U726)*EXP(-T49*0.5)</f>
        <v>97.828365322402377</v>
      </c>
      <c r="V725">
        <f t="shared" ref="V725" si="985">0.5*(W724+W726)*EXP(-V49*0.5)</f>
        <v>98.911442063362145</v>
      </c>
      <c r="X725">
        <f t="shared" ref="X725" si="986">0.5*(Y724+Y726)*EXP(-X49*0.5)</f>
        <v>99.62380471006864</v>
      </c>
    </row>
    <row r="726" spans="2:25" x14ac:dyDescent="0.25">
      <c r="G726">
        <f t="shared" ref="G726" si="987">0.5*(H725+H727)*EXP(-G50*0.5)</f>
        <v>94.834577863072226</v>
      </c>
      <c r="I726">
        <f t="shared" ref="I726" si="988">0.5*(J725+J727)*EXP(-I50*0.5)</f>
        <v>95.433709942081478</v>
      </c>
      <c r="K726">
        <f t="shared" ref="K726" si="989">0.5*(L725+L727)*EXP(-K50*0.5)</f>
        <v>95.978580462347821</v>
      </c>
      <c r="M726">
        <f t="shared" ref="M726" si="990">0.5*(N725+N727)*EXP(-M50*0.5)</f>
        <v>96.455743859080812</v>
      </c>
      <c r="O726">
        <f t="shared" ref="O726" si="991">0.5*(P725+P727)*EXP(-O50*0.5)</f>
        <v>96.872707302378444</v>
      </c>
      <c r="Q726">
        <f t="shared" ref="Q726" si="992">0.5*(R725+R727)*EXP(-Q50*0.5)</f>
        <v>97.267100916448186</v>
      </c>
      <c r="S726">
        <f t="shared" ref="S726" si="993">0.5*(T725+T727)*EXP(-S50*0.5)</f>
        <v>97.938170124382225</v>
      </c>
      <c r="U726">
        <f t="shared" ref="U726" si="994">0.5*(V725+V727)*EXP(-U50*0.5)</f>
        <v>98.754501169210684</v>
      </c>
      <c r="W726">
        <f t="shared" ref="W726" si="995">0.5*(X725+X727)*EXP(-W50*0.5)</f>
        <v>99.430126593638533</v>
      </c>
      <c r="Y726">
        <v>100</v>
      </c>
    </row>
    <row r="727" spans="2:25" x14ac:dyDescent="0.25">
      <c r="H727">
        <f t="shared" ref="H727" si="996">0.5*(I726+I728)*EXP(-H51*0.5)</f>
        <v>96.374328450469207</v>
      </c>
      <c r="J727">
        <f t="shared" ref="J727" si="997">0.5*(K726+K728)*EXP(-J51*0.5)</f>
        <v>96.781780157129873</v>
      </c>
      <c r="L727">
        <f t="shared" ref="L727" si="998">0.5*(M726+M728)*EXP(-L51*0.5)</f>
        <v>97.164554906298889</v>
      </c>
      <c r="N727">
        <f t="shared" ref="N727" si="999">0.5*(O726+O728)*EXP(-N51*0.5)</f>
        <v>97.478252988518307</v>
      </c>
      <c r="P727">
        <f t="shared" ref="P727" si="1000">0.5*(Q726+Q728)*EXP(-P51*0.5)</f>
        <v>97.712742012117886</v>
      </c>
      <c r="R727">
        <f t="shared" ref="R727" si="1001">0.5*(S726+S728)*EXP(-R51*0.5)</f>
        <v>98.247998004437434</v>
      </c>
      <c r="T727">
        <f t="shared" ref="T727" si="1002">0.5*(U726+U728)*EXP(-T51*0.5)</f>
        <v>98.740333454701741</v>
      </c>
      <c r="V727">
        <f t="shared" ref="V727" si="1003">0.5*(W726+W728)*EXP(-V51*0.5)</f>
        <v>99.36142932794931</v>
      </c>
      <c r="X727">
        <f t="shared" ref="X727" si="1004">0.5*(Y726+Y728)*EXP(-X51*0.5)</f>
        <v>99.776900110964945</v>
      </c>
    </row>
    <row r="728" spans="2:25" x14ac:dyDescent="0.25">
      <c r="I728">
        <f t="shared" ref="I728" si="1005">0.5*(J727+J729)*EXP(-I52*0.5)</f>
        <v>97.445376684486817</v>
      </c>
      <c r="K728">
        <f t="shared" ref="K728" si="1006">0.5*(L727+L729)*EXP(-K52*0.5)</f>
        <v>97.729959061796748</v>
      </c>
      <c r="M728">
        <f t="shared" ref="M728" si="1007">0.5*(N727+N729)*EXP(-M52*0.5)</f>
        <v>97.970857895291672</v>
      </c>
      <c r="O728">
        <f t="shared" ref="O728" si="1008">0.5*(P727+P729)*EXP(-O52*0.5)</f>
        <v>98.15449632178381</v>
      </c>
      <c r="Q728">
        <f t="shared" ref="Q728" si="1009">0.5*(R727+R729)*EXP(-Q52*0.5)</f>
        <v>98.39309846023751</v>
      </c>
      <c r="S728">
        <f t="shared" ref="S728" si="1010">0.5*(T727+T729)*EXP(-S52*0.5)</f>
        <v>98.807225469031451</v>
      </c>
      <c r="U728">
        <f t="shared" ref="U728" si="1011">0.5*(V727+V729)*EXP(-U52*0.5)</f>
        <v>99.275638169248538</v>
      </c>
      <c r="W728">
        <f t="shared" ref="W728" si="1012">0.5*(X727+X729)*EXP(-W52*0.5)</f>
        <v>99.661900242293541</v>
      </c>
      <c r="Y728">
        <v>100</v>
      </c>
    </row>
    <row r="729" spans="2:25" x14ac:dyDescent="0.25">
      <c r="J729">
        <f t="shared" ref="J729" si="1013">0.5*(K728+K730)*EXP(-J53*0.5)</f>
        <v>98.181124115738314</v>
      </c>
      <c r="L729">
        <f t="shared" ref="L729" si="1014">0.5*(M728+M730)*EXP(-L53*0.5)</f>
        <v>98.374465925665973</v>
      </c>
      <c r="N729">
        <f t="shared" ref="N729" si="1015">0.5*(O728+O730)*EXP(-N53*0.5)</f>
        <v>98.51900552609419</v>
      </c>
      <c r="P729">
        <f t="shared" ref="P729" si="1016">0.5*(Q728+Q730)*EXP(-P53*0.5)</f>
        <v>98.643320827812161</v>
      </c>
      <c r="R729">
        <f t="shared" ref="R729" si="1017">0.5*(S728+S730)*EXP(-R53*0.5)</f>
        <v>98.905512360766252</v>
      </c>
      <c r="T729">
        <f t="shared" ref="T729" si="1018">0.5*(U728+U730)*EXP(-T53*0.5)</f>
        <v>99.270543924275927</v>
      </c>
      <c r="V729">
        <f t="shared" ref="V729" si="1019">0.5*(W728+W730)*EXP(-V53*0.5)</f>
        <v>99.62562802844424</v>
      </c>
      <c r="X729">
        <f t="shared" ref="X729" si="1020">0.5*(Y728+Y730)*EXP(-X53*0.5)</f>
        <v>99.867733575132249</v>
      </c>
    </row>
    <row r="730" spans="2:25" x14ac:dyDescent="0.25">
      <c r="K730">
        <f t="shared" ref="K730" si="1021">0.5*(L729+L731)*EXP(-K54*0.5)</f>
        <v>98.699843064504861</v>
      </c>
      <c r="M730">
        <f t="shared" ref="M730" si="1022">0.5*(N729+N731)*EXP(-M54*0.5)</f>
        <v>98.817434119063776</v>
      </c>
      <c r="O730">
        <f t="shared" ref="O730" si="1023">0.5*(P729+P731)*EXP(-O54*0.5)</f>
        <v>98.912008478711499</v>
      </c>
      <c r="Q730">
        <f t="shared" ref="Q730" si="1024">0.5*(R729+R731)*EXP(-Q54*0.5)</f>
        <v>99.020687168103564</v>
      </c>
      <c r="S730">
        <f t="shared" ref="S730" si="1025">0.5*(T729+T731)*EXP(-S54*0.5)</f>
        <v>99.138516621058997</v>
      </c>
      <c r="U730">
        <f t="shared" ref="U730" si="1026">0.5*(V729+V731)*EXP(-U54*0.5)</f>
        <v>99.579021346309702</v>
      </c>
      <c r="W730">
        <f t="shared" ref="W730" si="1027">0.5*(X729+X731)*EXP(-W54*0.5)</f>
        <v>99.799505765985955</v>
      </c>
      <c r="Y730">
        <v>100</v>
      </c>
    </row>
    <row r="731" spans="2:25" x14ac:dyDescent="0.25">
      <c r="L731">
        <f t="shared" ref="L731" si="1028">0.5*(M730+M732)*EXP(-L55*0.5)</f>
        <v>99.061917214709979</v>
      </c>
      <c r="N731">
        <f t="shared" ref="N731" si="1029">0.5*(O730+O732)*EXP(-N55*0.5)</f>
        <v>99.138203909686069</v>
      </c>
      <c r="P731">
        <f t="shared" ref="P731" si="1030">0.5*(Q730+Q732)*EXP(-P55*0.5)</f>
        <v>99.19961227138046</v>
      </c>
      <c r="R731">
        <f t="shared" ref="R731" si="1031">0.5*(S730+S732)*EXP(-R55*0.5)</f>
        <v>99.334183390949661</v>
      </c>
      <c r="T731">
        <f t="shared" ref="T731" si="1032">0.5*(U730+U732)*EXP(-T55*0.5)</f>
        <v>99.577912488565545</v>
      </c>
      <c r="V731">
        <f t="shared" ref="V731" si="1033">0.5*(W730+W732)*EXP(-V55*0.5)</f>
        <v>99.78056430678464</v>
      </c>
      <c r="X731">
        <f t="shared" ref="X731" si="1034">0.5*(Y730+Y732)*EXP(-X55*0.5)</f>
        <v>99.921599395481152</v>
      </c>
    </row>
    <row r="732" spans="2:25" x14ac:dyDescent="0.25">
      <c r="M732">
        <f t="shared" ref="M732" si="1035">0.5*(N731+N733)*EXP(-M56*0.5)</f>
        <v>99.322206756708937</v>
      </c>
      <c r="O732">
        <f t="shared" ref="O732" si="1036">0.5*(P731+P733)*EXP(-O56*0.5)</f>
        <v>99.375834215308529</v>
      </c>
      <c r="Q732">
        <f t="shared" ref="Q732" si="1037">0.5*(R731+R733)*EXP(-Q56*0.5)</f>
        <v>99.447154388841156</v>
      </c>
      <c r="S732">
        <f t="shared" ref="S732" si="1038">0.5*(T731+T733)*EXP(-S56*0.5)</f>
        <v>99.602459423336896</v>
      </c>
      <c r="U732">
        <f t="shared" ref="U732" si="1039">0.5*(V731+V733)*EXP(-U56*0.5)</f>
        <v>99.755393659876148</v>
      </c>
      <c r="W732">
        <f t="shared" ref="W732" si="1040">0.5*(X731+X733)*EXP(-W56*0.5)</f>
        <v>99.881140270776569</v>
      </c>
      <c r="Y732">
        <v>100</v>
      </c>
    </row>
    <row r="733" spans="2:25" x14ac:dyDescent="0.25">
      <c r="N733">
        <f t="shared" ref="N733" si="1041">0.5*(O732+O734)*EXP(-N57*0.5)</f>
        <v>99.515164985322613</v>
      </c>
      <c r="P733">
        <f t="shared" ref="P733" si="1042">0.5*(Q732+Q734)*EXP(-P57*0.5)</f>
        <v>99.559635490199042</v>
      </c>
      <c r="R733">
        <f t="shared" ref="R733" si="1043">0.5*(S732+S734)*EXP(-R57*0.5)</f>
        <v>99.667004899736895</v>
      </c>
      <c r="T733">
        <f t="shared" ref="T733" si="1044">0.5*(U732+U734)*EXP(-T57*0.5)</f>
        <v>99.755831654667602</v>
      </c>
      <c r="V733">
        <f t="shared" ref="V733" si="1045">0.5*(W732+W734)*EXP(-V57*0.5)</f>
        <v>99.871376387298255</v>
      </c>
      <c r="X733">
        <f t="shared" ref="X733" si="1046">0.5*(Y732+Y734)*EXP(-X57*0.5)</f>
        <v>99.953533333573162</v>
      </c>
    </row>
    <row r="734" spans="2:25" x14ac:dyDescent="0.25">
      <c r="O734">
        <f t="shared" ref="O734" si="1047">0.5*(P733+P735)*EXP(-O58*0.5)</f>
        <v>99.659073502209594</v>
      </c>
      <c r="Q734">
        <f t="shared" ref="Q734" si="1048">0.5*(R733+R735)*EXP(-Q58*0.5)</f>
        <v>99.709076332302772</v>
      </c>
      <c r="S734">
        <f t="shared" ref="S734" si="1049">0.5*(T733+T735)*EXP(-S58*0.5)</f>
        <v>99.770649465713305</v>
      </c>
      <c r="U734">
        <f t="shared" ref="U734" si="1050">0.5*(V733+V735)*EXP(-U58*0.5)</f>
        <v>99.857865096095139</v>
      </c>
      <c r="W734">
        <f t="shared" ref="W734" si="1051">0.5*(X733+X735)*EXP(-W58*0.5)</f>
        <v>99.929547894654974</v>
      </c>
      <c r="Y734">
        <v>100</v>
      </c>
    </row>
    <row r="735" spans="2:25" x14ac:dyDescent="0.25">
      <c r="P735">
        <f t="shared" ref="P735" si="1052">0.5*(Q734+Q736)*EXP(-P59*0.5)</f>
        <v>99.76154289838918</v>
      </c>
      <c r="R735">
        <f t="shared" ref="R735" si="1053">0.5*(S734+S736)*EXP(-R59*0.5)</f>
        <v>99.808657568100671</v>
      </c>
      <c r="T735">
        <f t="shared" ref="T735" si="1054">0.5*(U734+U736)*EXP(-T59*0.5)</f>
        <v>99.858749603666695</v>
      </c>
      <c r="V735">
        <f t="shared" ref="V735" si="1055">0.5*(W734+W736)*EXP(-V59*0.5)</f>
        <v>99.924594875428895</v>
      </c>
      <c r="X735">
        <f t="shared" ref="X735" si="1056">0.5*(Y734+Y736)*EXP(-X59*0.5)</f>
        <v>99.972461812170351</v>
      </c>
    </row>
    <row r="736" spans="2:25" x14ac:dyDescent="0.25">
      <c r="Q736">
        <f t="shared" ref="Q736" si="1057">0.5*(R735+R737)*EXP(-Q60*0.5)</f>
        <v>99.833886365199646</v>
      </c>
      <c r="S736">
        <f t="shared" ref="S736" si="1058">0.5*(T735+T737)*EXP(-S60*0.5)</f>
        <v>99.867680333025191</v>
      </c>
      <c r="U736">
        <f t="shared" ref="U736" si="1059">0.5*(V735+V737)*EXP(-U60*0.5)</f>
        <v>99.917390518402556</v>
      </c>
      <c r="W736">
        <f t="shared" ref="W736" si="1060">0.5*(X735+X737)*EXP(-W60*0.5)</f>
        <v>99.958244894380925</v>
      </c>
      <c r="Y736">
        <v>100</v>
      </c>
    </row>
    <row r="737" spans="18:29" x14ac:dyDescent="0.25">
      <c r="R737">
        <f t="shared" ref="R737" si="1061">0.5*(S736+S738)*EXP(-R61*0.5)</f>
        <v>99.890019204499069</v>
      </c>
      <c r="T737">
        <f t="shared" ref="T737" si="1062">0.5*(U736+U738)*EXP(-T61*0.5)</f>
        <v>99.918270459716197</v>
      </c>
      <c r="V737">
        <f t="shared" ref="V737" si="1063">0.5*(W736+W738)*EXP(-V61*0.5)</f>
        <v>99.9557839466774</v>
      </c>
      <c r="X737">
        <f t="shared" ref="X737" si="1064">0.5*(Y736+Y738)*EXP(-X61*0.5)</f>
        <v>99.983680289571254</v>
      </c>
    </row>
    <row r="738" spans="18:29" x14ac:dyDescent="0.25">
      <c r="S738">
        <f t="shared" ref="S738" si="1065">0.5*(T737+T739)*EXP(-S62*0.5)</f>
        <v>99.923646268595689</v>
      </c>
      <c r="U738">
        <f t="shared" ref="U738" si="1066">0.5*(V737+V739)*EXP(-U62*0.5)</f>
        <v>99.951971845085865</v>
      </c>
      <c r="W738">
        <f t="shared" ref="W738" si="1067">0.5*(X737+X739)*EXP(-W62*0.5)</f>
        <v>99.975254322950505</v>
      </c>
      <c r="Y738">
        <v>100</v>
      </c>
    </row>
    <row r="739" spans="18:29" x14ac:dyDescent="0.25">
      <c r="T739">
        <f t="shared" ref="T739" si="1068">0.5*(U738+U740)*EXP(-T63*0.5)</f>
        <v>99.952695592475166</v>
      </c>
      <c r="V739">
        <f t="shared" ref="V739" si="1069">0.5*(W738+W740)*EXP(-V63*0.5)</f>
        <v>99.974065635052625</v>
      </c>
      <c r="X739">
        <f t="shared" ref="X739" si="1070">0.5*(Y738+Y740)*EXP(-X63*0.5)</f>
        <v>99.990328816740529</v>
      </c>
    </row>
    <row r="740" spans="18:29" x14ac:dyDescent="0.25">
      <c r="U740">
        <f t="shared" ref="U740" si="1071">0.5*(V739+V741)*EXP(-U64*0.5)</f>
        <v>99.97206671634828</v>
      </c>
      <c r="W740">
        <f t="shared" ref="W740" si="1072">0.5*(X739+X741)*EXP(-W64*0.5)</f>
        <v>99.98533528012085</v>
      </c>
      <c r="Y740">
        <v>100</v>
      </c>
    </row>
    <row r="741" spans="18:29" x14ac:dyDescent="0.25">
      <c r="V741">
        <f t="shared" ref="V741" si="1073">0.5*(W740+W742)*EXP(-V65*0.5)</f>
        <v>99.984784130619971</v>
      </c>
      <c r="X741">
        <f t="shared" ref="X741" si="1074">0.5*(Y740+Y742)*EXP(-X65*0.5)</f>
        <v>99.99426886162037</v>
      </c>
    </row>
    <row r="742" spans="18:29" x14ac:dyDescent="0.25">
      <c r="W742">
        <f t="shared" ref="W742" si="1075">0.5*(X741+X743)*EXP(-W66*0.5)</f>
        <v>99.991309612901205</v>
      </c>
      <c r="Y742">
        <v>100</v>
      </c>
    </row>
    <row r="743" spans="18:29" x14ac:dyDescent="0.25">
      <c r="X743">
        <f t="shared" ref="X743" si="1076">0.5*(Y742+Y744)*EXP(-X67*0.5)</f>
        <v>99.996603757512801</v>
      </c>
    </row>
    <row r="744" spans="18:29" x14ac:dyDescent="0.25">
      <c r="Y744">
        <v>100</v>
      </c>
    </row>
    <row r="748" spans="18:29" x14ac:dyDescent="0.25">
      <c r="Z748">
        <v>100</v>
      </c>
      <c r="AB748">
        <f>0.5*LN(Y20/Y22)/SQRT(0.5)</f>
        <v>0.3699999708567227</v>
      </c>
      <c r="AC748">
        <f>(C26-AB748)^2*100000</f>
        <v>8.4933061128467237E-11</v>
      </c>
    </row>
    <row r="749" spans="18:29" x14ac:dyDescent="0.25">
      <c r="Y749">
        <f>0.5*(Z748+Z750)*EXP(-Y20*0.5)</f>
        <v>0.40398027536878095</v>
      </c>
      <c r="AC749">
        <f>(D26-A773)^2*10000</f>
        <v>3.9615830694280841E-10</v>
      </c>
    </row>
    <row r="750" spans="18:29" x14ac:dyDescent="0.25">
      <c r="X750">
        <f>0.5*(Y749+Y751)*EXP(-X21*0.5)</f>
        <v>6.8924364551535919E-3</v>
      </c>
      <c r="Z750">
        <v>100</v>
      </c>
      <c r="AC750">
        <f>AC748+AC749</f>
        <v>4.8109136807127562E-10</v>
      </c>
    </row>
    <row r="751" spans="18:29" x14ac:dyDescent="0.25">
      <c r="W751">
        <f>0.5*(X750+X752)*EXP(-W22*0.5)</f>
        <v>2.54490261666097E-3</v>
      </c>
      <c r="Y751">
        <f t="shared" ref="Y751" si="1077">0.5*(Z750+Z752)*EXP(-Y22*0.5)</f>
        <v>3.8155937449995827</v>
      </c>
    </row>
    <row r="752" spans="18:29" x14ac:dyDescent="0.25">
      <c r="V752">
        <f>0.5*(W751+W753)*EXP(-V23*0.5)</f>
        <v>4.5617906413135867E-4</v>
      </c>
      <c r="X752">
        <f t="shared" ref="X752" si="1078">0.5*(Y751+Y753)*EXP(-X23*0.5)</f>
        <v>0.30703088688717334</v>
      </c>
      <c r="Z752">
        <v>100</v>
      </c>
    </row>
    <row r="753" spans="6:26" x14ac:dyDescent="0.25">
      <c r="U753">
        <f>0.5*(V752+V754)*EXP(-U24*0.5)</f>
        <v>6.6212868125912379E-5</v>
      </c>
      <c r="W753">
        <f t="shared" ref="W753" si="1079">0.5*(X752+X754)*EXP(-W24*0.5)</f>
        <v>0.14787720273480018</v>
      </c>
      <c r="Y753">
        <f t="shared" ref="Y753" si="1080">0.5*(Z752+Z754)*EXP(-Y24*0.5)</f>
        <v>14.436214615927225</v>
      </c>
    </row>
    <row r="754" spans="6:26" x14ac:dyDescent="0.25">
      <c r="T754">
        <f>0.5*(U753+U755)*EXP(-T25*0.5)</f>
        <v>1.1487959974363659E-4</v>
      </c>
      <c r="V754">
        <f t="shared" ref="V754" si="1081">0.5*(W753+W755)*EXP(-V25*0.5)</f>
        <v>5.4625268316565792E-2</v>
      </c>
      <c r="X754">
        <f t="shared" ref="X754" si="1082">0.5*(Y753+Y755)*EXP(-X25*0.5)</f>
        <v>3.0949586417437414</v>
      </c>
      <c r="Z754">
        <v>100</v>
      </c>
    </row>
    <row r="755" spans="6:26" x14ac:dyDescent="0.25">
      <c r="S755">
        <f>0.5*(T754+T756)*EXP(-S26*0.5)</f>
        <v>5.0243628536124991E-4</v>
      </c>
      <c r="U755">
        <f t="shared" ref="U755" si="1083">0.5*(V754+V756)*EXP(-U26*0.5)</f>
        <v>1.7574251405231427E-2</v>
      </c>
      <c r="W755">
        <f t="shared" ref="W755" si="1084">0.5*(X754+X756)*EXP(-W26*0.5)</f>
        <v>1.8368360871427665</v>
      </c>
      <c r="Y755">
        <f t="shared" ref="Y755" si="1085">0.5*(Z754+Z756)*EXP(-Y26*0.5)</f>
        <v>31.761694598032243</v>
      </c>
    </row>
    <row r="756" spans="6:26" x14ac:dyDescent="0.25">
      <c r="R756">
        <f>0.5*(S755+S757)*EXP(-R27*0.5)</f>
        <v>2.7993287786229819E-3</v>
      </c>
      <c r="T756">
        <f t="shared" ref="T756" si="1086">0.5*(U755+U757)*EXP(-T27*0.5)</f>
        <v>2.2891456769089026E-2</v>
      </c>
      <c r="V756">
        <f t="shared" ref="V756" si="1087">0.5*(W755+W757)*EXP(-V27*0.5)</f>
        <v>1.0254169921323275</v>
      </c>
      <c r="X756">
        <f t="shared" ref="X756" si="1088">0.5*(Y755+Y757)*EXP(-X27*0.5)</f>
        <v>12.526328745366497</v>
      </c>
      <c r="Z756">
        <v>100</v>
      </c>
    </row>
    <row r="757" spans="6:26" x14ac:dyDescent="0.25">
      <c r="Q757">
        <f>0.5*(R756+R758)*EXP(-Q28*0.5)</f>
        <v>2.8106994229885347E-3</v>
      </c>
      <c r="S757">
        <f t="shared" ref="S757" si="1089">0.5*(T756+T758)*EXP(-S28*0.5)</f>
        <v>5.0996013498758756E-2</v>
      </c>
      <c r="U757">
        <f t="shared" ref="U757" si="1090">0.5*(V756+V758)*EXP(-U28*0.5)</f>
        <v>0.52126928928448224</v>
      </c>
      <c r="W757">
        <f t="shared" ref="W757" si="1091">0.5*(X756+X758)*EXP(-W28*0.5)</f>
        <v>8.8085491865777783</v>
      </c>
      <c r="Y757">
        <f t="shared" ref="Y757" si="1092">0.5*(Z756+Z758)*EXP(-Y28*0.5)</f>
        <v>50.67981248794824</v>
      </c>
    </row>
    <row r="758" spans="6:26" x14ac:dyDescent="0.25">
      <c r="P758">
        <f>0.5*(Q757+Q759)*EXP(-P29*0.5)</f>
        <v>2.6199108271951498E-2</v>
      </c>
      <c r="R758">
        <f t="shared" ref="R758" si="1093">0.5*(S757+S759)*EXP(-R29*0.5)</f>
        <v>0.14397681656706468</v>
      </c>
      <c r="T758">
        <f t="shared" ref="T758" si="1094">0.5*(U757+U759)*EXP(-T29*0.5)</f>
        <v>0.58085813724063107</v>
      </c>
      <c r="V758">
        <f t="shared" ref="V758" si="1095">0.5*(W757+W759)*EXP(-V29*0.5)</f>
        <v>6.2686169999600612</v>
      </c>
      <c r="X758">
        <f t="shared" ref="X758" si="1096">0.5*(Y757+Y759)*EXP(-X29*0.5)</f>
        <v>29.011497445604867</v>
      </c>
      <c r="Z758">
        <v>100</v>
      </c>
    </row>
    <row r="759" spans="6:26" x14ac:dyDescent="0.25">
      <c r="O759">
        <f>0.5*(P758+P760)*EXP(-O30*0.5)</f>
        <v>8.0489641671490058E-4</v>
      </c>
      <c r="Q759">
        <f t="shared" ref="Q759" si="1097">0.5*(R758+R760)*EXP(-Q30*0.5)</f>
        <v>0.15892351138359967</v>
      </c>
      <c r="S759">
        <f t="shared" ref="S759" si="1098">0.5*(T758+T760)*EXP(-S30*0.5)</f>
        <v>0.89650162129591304</v>
      </c>
      <c r="U759">
        <f t="shared" ref="U759" si="1099">0.5*(V758+V760)*EXP(-U30*0.5)</f>
        <v>4.1913228366045061</v>
      </c>
      <c r="W759">
        <f t="shared" ref="W759" si="1100">0.5*(X758+X760)*EXP(-W30*0.5)</f>
        <v>23.138586886093925</v>
      </c>
      <c r="Y759">
        <f t="shared" ref="Y759" si="1101">0.5*(Z758+Z760)*EXP(-Y30*0.5)</f>
        <v>66.848136000330229</v>
      </c>
    </row>
    <row r="760" spans="6:26" x14ac:dyDescent="0.25">
      <c r="N760">
        <f>0.5*(O759+O761)*EXP(-N31*0.5)</f>
        <v>3.0511203267042852E-3</v>
      </c>
      <c r="P760">
        <f t="shared" ref="P760" si="1102">0.5*(Q759+Q761)*EXP(-P31*0.5)</f>
        <v>0.56409659168074255</v>
      </c>
      <c r="R760">
        <f t="shared" ref="R760" si="1103">0.5*(S759+S761)*EXP(-R31*0.5)</f>
        <v>1.6869410579412312</v>
      </c>
      <c r="T760">
        <f t="shared" ref="T760" si="1104">0.5*(U759+U761)*EXP(-T31*0.5)</f>
        <v>4.3420259516369457</v>
      </c>
      <c r="V760">
        <f t="shared" ref="V760" si="1105">0.5*(W759+W761)*EXP(-V31*0.5)</f>
        <v>19.038676621955691</v>
      </c>
      <c r="X760">
        <f t="shared" ref="X760" si="1106">0.5*(Y759+Y761)*EXP(-X31*0.5)</f>
        <v>47.921159224579903</v>
      </c>
      <c r="Z760">
        <v>100</v>
      </c>
    </row>
    <row r="761" spans="6:26" x14ac:dyDescent="0.25">
      <c r="M761">
        <f>0.5*(N760+N762)*EXP(-M32*0.5)</f>
        <v>1.3798296153279198E-2</v>
      </c>
      <c r="O761">
        <f t="shared" ref="O761" si="1107">0.5*(P760+P762)*EXP(-O32*0.5)</f>
        <v>0.21401891473017745</v>
      </c>
      <c r="Q761">
        <f t="shared" ref="Q761" si="1108">0.5*(R760+R762)*EXP(-Q32*0.5)</f>
        <v>1.906963634427264</v>
      </c>
      <c r="S761">
        <f t="shared" ref="S761" si="1109">0.5*(T760+T762)*EXP(-S32*0.5)</f>
        <v>5.4972873118306893</v>
      </c>
      <c r="U761">
        <f t="shared" ref="U761" si="1110">0.5*(V760+V762)*EXP(-U32*0.5)</f>
        <v>15.045763214348462</v>
      </c>
      <c r="W761">
        <f t="shared" ref="W761" si="1111">0.5*(X760+X762)*EXP(-W32*0.5)</f>
        <v>41.634353676240274</v>
      </c>
      <c r="Y761">
        <f t="shared" ref="Y761" si="1112">0.5*(Z760+Z762)*EXP(-Y32*0.5)</f>
        <v>78.768094374281276</v>
      </c>
    </row>
    <row r="762" spans="6:26" x14ac:dyDescent="0.25">
      <c r="L762">
        <f>0.5*(M761+M763)*EXP(-L33*0.5)</f>
        <v>6.6999851888644865E-2</v>
      </c>
      <c r="N762">
        <f t="shared" ref="N762" si="1113">0.5*(O761+O763)*EXP(-N33*0.5)</f>
        <v>0.44348552006142311</v>
      </c>
      <c r="P762">
        <f t="shared" ref="P762" si="1114">0.5*(Q761+Q763)*EXP(-P33*0.5)</f>
        <v>3.9459504455828838</v>
      </c>
      <c r="R762">
        <f t="shared" ref="R762" si="1115">0.5*(S761+S763)*EXP(-R33*0.5)</f>
        <v>8.0749101358122068</v>
      </c>
      <c r="T762">
        <f t="shared" ref="T762" si="1116">0.5*(U761+U763)*EXP(-T33*0.5)</f>
        <v>15.170447101028651</v>
      </c>
      <c r="V762">
        <f t="shared" ref="V762" si="1117">0.5*(W761+W763)*EXP(-V33*0.5)</f>
        <v>37.324211313248696</v>
      </c>
      <c r="X762">
        <f t="shared" ref="X762" si="1118">0.5*(Y761+Y763)*EXP(-X33*0.5)</f>
        <v>64.614873696040135</v>
      </c>
      <c r="Z762">
        <v>100</v>
      </c>
    </row>
    <row r="763" spans="6:26" x14ac:dyDescent="0.25">
      <c r="K763">
        <f>0.5*(L762+L764)*EXP(-K34*0.5)</f>
        <v>0.67848388316280339</v>
      </c>
      <c r="M763">
        <f t="shared" ref="M763" si="1119">0.5*(N762+N764)*EXP(-M34*0.5)</f>
        <v>0.9420497663630385</v>
      </c>
      <c r="O763">
        <f t="shared" ref="O763" si="1120">0.5*(P762+P764)*EXP(-O34*0.5)</f>
        <v>3.4564841707923577</v>
      </c>
      <c r="Q763">
        <f t="shared" ref="Q763" si="1121">0.5*(R762+R764)*EXP(-Q34*0.5)</f>
        <v>9.012313246507702</v>
      </c>
      <c r="S763">
        <f t="shared" ref="S763" si="1122">0.5*(T762+T764)*EXP(-S34*0.5)</f>
        <v>17.263126329185496</v>
      </c>
      <c r="U763">
        <f t="shared" ref="U763" si="1123">0.5*(V762+V764)*EXP(-U34*0.5)</f>
        <v>32.620928205559473</v>
      </c>
      <c r="W763">
        <f t="shared" ref="W763" si="1124">0.5*(X762+X764)*EXP(-W34*0.5)</f>
        <v>59.306445137451277</v>
      </c>
      <c r="Y763">
        <f t="shared" ref="Y763" si="1125">0.5*(Z762+Z764)*EXP(-Y34*0.5)</f>
        <v>86.811776556774362</v>
      </c>
    </row>
    <row r="764" spans="6:26" x14ac:dyDescent="0.25">
      <c r="J764">
        <f>0.5*(K763+K765)*EXP(-J35*0.5)</f>
        <v>2.221499816358496</v>
      </c>
      <c r="L764">
        <f t="shared" ref="L764" si="1126">0.5*(M763+M765)*EXP(-L35*0.5)</f>
        <v>2.0481589416596822</v>
      </c>
      <c r="N764">
        <f t="shared" ref="N764" si="1127">0.5*(O763+O765)*EXP(-N35*0.5)</f>
        <v>5.2749977938183985</v>
      </c>
      <c r="P764">
        <f t="shared" ref="P764" si="1128">0.5*(Q763+Q765)*EXP(-P35*0.5)</f>
        <v>13.736372602733981</v>
      </c>
      <c r="R764">
        <f t="shared" ref="R764" si="1129">0.5*(S763+S765)*EXP(-R35*0.5)</f>
        <v>21.774758532554312</v>
      </c>
      <c r="T764">
        <f t="shared" ref="T764" si="1130">0.5*(U763+U765)*EXP(-T35*0.5)</f>
        <v>32.654028782262188</v>
      </c>
      <c r="V764">
        <f t="shared" ref="V764" si="1131">0.5*(W763+W765)*EXP(-V35*0.5)</f>
        <v>55.856529998820101</v>
      </c>
      <c r="X764">
        <f t="shared" ref="X764" si="1132">0.5*(Y763+Y765)*EXP(-X35*0.5)</f>
        <v>77.175893234156803</v>
      </c>
      <c r="Z764">
        <v>100</v>
      </c>
    </row>
    <row r="765" spans="6:26" x14ac:dyDescent="0.25">
      <c r="I765">
        <f>0.5*(J764+J766)*EXP(-I36*0.5)</f>
        <v>5.4376904475683947</v>
      </c>
      <c r="K765">
        <f t="shared" ref="K765" si="1133">0.5*(L764+L766)*EXP(-K36*0.5)</f>
        <v>5.8011946468265876</v>
      </c>
      <c r="M765">
        <f t="shared" ref="M765" si="1134">0.5*(N764+N766)*EXP(-M36*0.5)</f>
        <v>8.0260928603131436</v>
      </c>
      <c r="O765">
        <f t="shared" ref="O765" si="1135">0.5*(P764+P766)*EXP(-O36*0.5)</f>
        <v>15.132362754077072</v>
      </c>
      <c r="Q765">
        <f t="shared" ref="Q765" si="1136">0.5*(R764+R766)*EXP(-Q36*0.5)</f>
        <v>23.69072000321966</v>
      </c>
      <c r="S765">
        <f t="shared" ref="S765" si="1137">0.5*(T764+T766)*EXP(-S36*0.5)</f>
        <v>35.092495284759913</v>
      </c>
      <c r="U765">
        <f t="shared" ref="U765" si="1138">0.5*(V764+V766)*EXP(-U36*0.5)</f>
        <v>51.789286851681048</v>
      </c>
      <c r="W765">
        <f t="shared" ref="W765" si="1139">0.5*(X764+X766)*EXP(-W36*0.5)</f>
        <v>73.29073779543144</v>
      </c>
      <c r="Y765">
        <f t="shared" ref="Y765" si="1140">0.5*(Z764+Z766)*EXP(-Y36*0.5)</f>
        <v>91.960760394834992</v>
      </c>
    </row>
    <row r="766" spans="6:26" x14ac:dyDescent="0.25">
      <c r="H766">
        <f>0.5*(I765+I767)*EXP(-H37*0.5)</f>
        <v>10.002984311253226</v>
      </c>
      <c r="J766">
        <f t="shared" ref="J766" si="1141">0.5*(K765+K767)*EXP(-J37*0.5)</f>
        <v>10.884179916408202</v>
      </c>
      <c r="L766">
        <f t="shared" ref="L766" si="1142">0.5*(M765+M767)*EXP(-L37*0.5)</f>
        <v>12.178699273157603</v>
      </c>
      <c r="N766">
        <f t="shared" ref="N766" si="1143">0.5*(O765+O767)*EXP(-N37*0.5)</f>
        <v>19.719084901356478</v>
      </c>
      <c r="P766">
        <f t="shared" ref="P766" si="1144">0.5*(Q765+Q767)*EXP(-P37*0.5)</f>
        <v>30.279177492489488</v>
      </c>
      <c r="R766">
        <f t="shared" ref="R766" si="1145">0.5*(S765+S767)*EXP(-R37*0.5)</f>
        <v>40.339644909363713</v>
      </c>
      <c r="T766">
        <f t="shared" ref="T766" si="1146">0.5*(U765+U767)*EXP(-T37*0.5)</f>
        <v>51.798480086985514</v>
      </c>
      <c r="V766">
        <f t="shared" ref="V766" si="1147">0.5*(W765+W767)*EXP(-V37*0.5)</f>
        <v>70.964624610281462</v>
      </c>
      <c r="X766">
        <f t="shared" ref="X766" si="1148">0.5*(Y765+Y767)*EXP(-X37*0.5)</f>
        <v>85.758975283005142</v>
      </c>
      <c r="Z766">
        <v>100</v>
      </c>
    </row>
    <row r="767" spans="6:26" x14ac:dyDescent="0.25">
      <c r="G767">
        <f>0.5*(H766+H768)*EXP(-G38*0.5)</f>
        <v>16.690386199907241</v>
      </c>
      <c r="I767">
        <f t="shared" ref="I767" si="1149">0.5*(J766+J768)*EXP(-I38*0.5)</f>
        <v>17.960357127513923</v>
      </c>
      <c r="K767">
        <f t="shared" ref="K767" si="1150">0.5*(L766+L768)*EXP(-K38*0.5)</f>
        <v>20.087617843885052</v>
      </c>
      <c r="M767">
        <f t="shared" ref="M767" si="1151">0.5*(N766+N768)*EXP(-M38*0.5)</f>
        <v>25.266955855125762</v>
      </c>
      <c r="O767">
        <f t="shared" ref="O767" si="1152">0.5*(P766+P768)*EXP(-O38*0.5)</f>
        <v>34.301797565210471</v>
      </c>
      <c r="Q767">
        <f t="shared" ref="Q767" si="1153">0.5*(R766+R768)*EXP(-Q38*0.5)</f>
        <v>42.805545586712796</v>
      </c>
      <c r="S767">
        <f t="shared" ref="S767" si="1154">0.5*(T766+T768)*EXP(-S38*0.5)</f>
        <v>53.96900346874672</v>
      </c>
      <c r="U767">
        <f t="shared" ref="U767" si="1155">0.5*(V766+V768)*EXP(-U38*0.5)</f>
        <v>68.059868271246472</v>
      </c>
      <c r="W767">
        <f t="shared" ref="W767" si="1156">0.5*(X766+X768)*EXP(-W38*0.5)</f>
        <v>83.148670594262441</v>
      </c>
      <c r="Y767">
        <f t="shared" ref="Y767" si="1157">0.5*(Z766+Z768)*EXP(-Y38*0.5)</f>
        <v>95.154948066336232</v>
      </c>
    </row>
    <row r="768" spans="6:26" x14ac:dyDescent="0.25">
      <c r="F768">
        <f>0.5*(G767+G769)*EXP(-F39*0.5)</f>
        <v>24.380464921539435</v>
      </c>
      <c r="H768">
        <f t="shared" ref="H768" si="1158">0.5*(I767+I769)*EXP(-H39*0.5)</f>
        <v>25.728743182598162</v>
      </c>
      <c r="J768">
        <f t="shared" ref="J768" si="1159">0.5*(K767+K769)*EXP(-J39*0.5)</f>
        <v>28.250694022478218</v>
      </c>
      <c r="L768">
        <f t="shared" ref="L768" si="1160">0.5*(M767+M769)*EXP(-L39*0.5)</f>
        <v>31.942192751490314</v>
      </c>
      <c r="N768">
        <f t="shared" ref="N768" si="1161">0.5*(O767+O769)*EXP(-N39*0.5)</f>
        <v>40.575413213573469</v>
      </c>
      <c r="P768">
        <f t="shared" ref="P768" si="1162">0.5*(Q767+Q769)*EXP(-P39*0.5)</f>
        <v>49.37764832471143</v>
      </c>
      <c r="R768">
        <f t="shared" ref="R768" si="1163">0.5*(S767+S769)*EXP(-R39*0.5)</f>
        <v>58.661769708603849</v>
      </c>
      <c r="T768">
        <f t="shared" ref="T768" si="1164">0.5*(U767+U769)*EXP(-T39*0.5)</f>
        <v>68.102090233743667</v>
      </c>
      <c r="V768">
        <f t="shared" ref="V768" si="1165">0.5*(W767+W769)*EXP(-V39*0.5)</f>
        <v>81.742074918545228</v>
      </c>
      <c r="X768">
        <f t="shared" ref="X768" si="1166">0.5*(Y767+Y769)*EXP(-X39*0.5)</f>
        <v>91.295014578001869</v>
      </c>
      <c r="Z768">
        <v>100</v>
      </c>
    </row>
    <row r="769" spans="1:26" x14ac:dyDescent="0.25">
      <c r="E769">
        <f>0.5*(F768+F770)*EXP(-E40*0.5)</f>
        <v>32.99840434115616</v>
      </c>
      <c r="G769">
        <f t="shared" ref="G769" si="1167">0.5*(H768+H770)*EXP(-G40*0.5)</f>
        <v>34.643379117275622</v>
      </c>
      <c r="I769">
        <f t="shared" ref="I769" si="1168">0.5*(J768+J770)*EXP(-I40*0.5)</f>
        <v>37.336121342213637</v>
      </c>
      <c r="K769">
        <f t="shared" ref="K769" si="1169">0.5*(L768+L770)*EXP(-K40*0.5)</f>
        <v>41.097566259280221</v>
      </c>
      <c r="M769">
        <f t="shared" ref="M769" si="1170">0.5*(N768+N770)*EXP(-M40*0.5)</f>
        <v>47.097267978393461</v>
      </c>
      <c r="O769">
        <f t="shared" ref="O769" si="1171">0.5*(P768+P770)*EXP(-O40*0.5)</f>
        <v>54.499965365990057</v>
      </c>
      <c r="Q769">
        <f t="shared" ref="Q769" si="1172">0.5*(R768+R770)*EXP(-Q40*0.5)</f>
        <v>61.034343638412423</v>
      </c>
      <c r="S769">
        <f t="shared" ref="S769" si="1173">0.5*(T768+T770)*EXP(-S40*0.5)</f>
        <v>69.747038049645965</v>
      </c>
      <c r="U769">
        <f t="shared" ref="U769" si="1174">0.5*(V768+V770)*EXP(-U40*0.5)</f>
        <v>79.897344313832065</v>
      </c>
      <c r="W769">
        <f t="shared" ref="W769" si="1175">0.5*(X768+X770)*EXP(-W40*0.5)</f>
        <v>89.628435248862587</v>
      </c>
      <c r="Y769">
        <f t="shared" ref="Y769" si="1176">0.5*(Z768+Z770)*EXP(-Y40*0.5)</f>
        <v>97.099888673086866</v>
      </c>
    </row>
    <row r="770" spans="1:26" x14ac:dyDescent="0.25">
      <c r="D770">
        <f>0.5*(E769+E771)*EXP(-D41*0.5)</f>
        <v>41.567627879226166</v>
      </c>
      <c r="F770">
        <f t="shared" ref="F770" si="1177">0.5*(G769+G771)*EXP(-F41*0.5)</f>
        <v>43.407406422230991</v>
      </c>
      <c r="H770">
        <f t="shared" ref="H770" si="1178">0.5*(I769+I771)*EXP(-H41*0.5)</f>
        <v>45.922574519971874</v>
      </c>
      <c r="J770">
        <f t="shared" ref="J770" si="1179">0.5*(K769+K771)*EXP(-J41*0.5)</f>
        <v>49.420126149022487</v>
      </c>
      <c r="L770">
        <f t="shared" ref="L770" si="1180">0.5*(M769+M771)*EXP(-L41*0.5)</f>
        <v>53.86772502487959</v>
      </c>
      <c r="N770">
        <f t="shared" ref="N770" si="1181">0.5*(O769+O771)*EXP(-N41*0.5)</f>
        <v>60.492501947383381</v>
      </c>
      <c r="P770">
        <f t="shared" ref="P770" si="1182">0.5*(Q769+Q771)*EXP(-P41*0.5)</f>
        <v>66.31352925565983</v>
      </c>
      <c r="R770">
        <f t="shared" ref="R770" si="1183">0.5*(S769+S771)*EXP(-R41*0.5)</f>
        <v>73.30916504597198</v>
      </c>
      <c r="T770">
        <f t="shared" ref="T770" si="1184">0.5*(U769+U771)*EXP(-T41*0.5)</f>
        <v>79.972945348740325</v>
      </c>
      <c r="V770">
        <f t="shared" ref="V770" si="1185">0.5*(W769+W771)*EXP(-V41*0.5)</f>
        <v>88.836737466914826</v>
      </c>
      <c r="X770">
        <f t="shared" ref="X770" si="1186">0.5*(Y769+Y771)*EXP(-X41*0.5)</f>
        <v>94.744950543273958</v>
      </c>
      <c r="Z770">
        <v>100</v>
      </c>
    </row>
    <row r="771" spans="1:26" x14ac:dyDescent="0.25">
      <c r="C771">
        <f>0.5*(D770+D772)*EXP(-C42*0.5)</f>
        <v>49.939424375848098</v>
      </c>
      <c r="E771">
        <f t="shared" ref="E771" si="1187">0.5*(F770+F772)*EXP(-E42*0.5)</f>
        <v>51.996651484469538</v>
      </c>
      <c r="G771">
        <f t="shared" ref="G771" si="1188">0.5*(H770+H772)*EXP(-G42*0.5)</f>
        <v>54.400613750246272</v>
      </c>
      <c r="I771">
        <f t="shared" ref="I771" si="1189">0.5*(J770+J772)*EXP(-I42*0.5)</f>
        <v>57.595784890657065</v>
      </c>
      <c r="K771">
        <f t="shared" ref="K771" si="1190">0.5*(L770+L772)*EXP(-K42*0.5)</f>
        <v>61.425939074738565</v>
      </c>
      <c r="M771">
        <f t="shared" ref="M771" si="1191">0.5*(N770+N772)*EXP(-M42*0.5)</f>
        <v>66.128830194694146</v>
      </c>
      <c r="O771">
        <f t="shared" ref="O771" si="1192">0.5*(P770+P772)*EXP(-O42*0.5)</f>
        <v>70.911408616368306</v>
      </c>
      <c r="Q771">
        <f t="shared" ref="Q771" si="1193">0.5*(R770+R772)*EXP(-Q42*0.5)</f>
        <v>75.215174062403335</v>
      </c>
      <c r="S771">
        <f t="shared" ref="S771" si="1194">0.5*(T770+T772)*EXP(-S42*0.5)</f>
        <v>81.106350433295106</v>
      </c>
      <c r="U771">
        <f t="shared" ref="U771" si="1195">0.5*(V770+V772)*EXP(-U42*0.5)</f>
        <v>87.747109272798625</v>
      </c>
      <c r="W771">
        <f t="shared" ref="W771" si="1196">0.5*(X770+X772)*EXP(-W42*0.5)</f>
        <v>93.71268520548432</v>
      </c>
      <c r="Y771">
        <f t="shared" ref="Y771" si="1197">0.5*(Z770+Z772)*EXP(-Y42*0.5)</f>
        <v>98.271140714851114</v>
      </c>
    </row>
    <row r="772" spans="1:26" x14ac:dyDescent="0.25">
      <c r="B772">
        <f>0.5*(C771+C773)*EXP(-B43*0.5)</f>
        <v>57.756136689447132</v>
      </c>
      <c r="D772">
        <f t="shared" ref="D772" si="1198">0.5*(E771+E773)*EXP(-D43*0.5)</f>
        <v>59.675715857919691</v>
      </c>
      <c r="F772">
        <f t="shared" ref="F772" si="1199">0.5*(G771+G773)*EXP(-F43*0.5)</f>
        <v>61.968008711987231</v>
      </c>
      <c r="H772">
        <f t="shared" ref="H772" si="1200">0.5*(I771+I773)*EXP(-H43*0.5)</f>
        <v>64.69388317696577</v>
      </c>
      <c r="J772">
        <f t="shared" ref="J772" si="1201">0.5*(K771+K773)*EXP(-J43*0.5)</f>
        <v>67.87392191945878</v>
      </c>
      <c r="L772">
        <f t="shared" ref="L772" si="1202">0.5*(M771+M773)*EXP(-L43*0.5)</f>
        <v>71.437379611281358</v>
      </c>
      <c r="N772">
        <f t="shared" ref="N772" si="1203">0.5*(O771+O773)*EXP(-N43*0.5)</f>
        <v>75.532849414498372</v>
      </c>
      <c r="P772">
        <f t="shared" ref="P772" si="1204">0.5*(Q771+Q773)*EXP(-P43*0.5)</f>
        <v>78.91944602346004</v>
      </c>
      <c r="R772">
        <f t="shared" ref="R772" si="1205">0.5*(S771+S773)*EXP(-R43*0.5)</f>
        <v>83.552492193236816</v>
      </c>
      <c r="T772">
        <f t="shared" ref="T772" si="1206">0.5*(U771+U773)*EXP(-T43*0.5)</f>
        <v>87.834069852132558</v>
      </c>
      <c r="V772">
        <f t="shared" ref="V772" si="1207">0.5*(W771+W773)*EXP(-V43*0.5)</f>
        <v>93.289293040722413</v>
      </c>
      <c r="X772">
        <f t="shared" ref="X772" si="1208">0.5*(Y771+Y773)*EXP(-X43*0.5)</f>
        <v>96.851320660255126</v>
      </c>
      <c r="Z772">
        <v>100</v>
      </c>
    </row>
    <row r="773" spans="1:26" x14ac:dyDescent="0.25">
      <c r="A773">
        <f>0.5*(B772+B774)*EXP(-A44*0.5)</f>
        <v>64.969646834382715</v>
      </c>
      <c r="C773">
        <f t="shared" ref="C773" si="1209">0.5*(D772+D774)*EXP(-C44*0.5)</f>
        <v>66.584804438780623</v>
      </c>
      <c r="E773">
        <f t="shared" ref="E773" si="1210">0.5*(F772+F774)*EXP(-E44*0.5)</f>
        <v>68.780504383917417</v>
      </c>
      <c r="G773">
        <f t="shared" ref="G773" si="1211">0.5*(H772+H774)*EXP(-G44*0.5)</f>
        <v>71.094442187467962</v>
      </c>
      <c r="I773">
        <f t="shared" ref="I773" si="1212">0.5*(J772+J774)*EXP(-I44*0.5)</f>
        <v>73.77187328313876</v>
      </c>
      <c r="K773">
        <f t="shared" ref="K773" si="1213">0.5*(L772+L774)*EXP(-K44*0.5)</f>
        <v>76.622895184170304</v>
      </c>
      <c r="M773">
        <f t="shared" ref="M773" si="1214">0.5*(N772+N774)*EXP(-M44*0.5)</f>
        <v>79.606633079521629</v>
      </c>
      <c r="O773">
        <f t="shared" ref="O773" si="1215">0.5*(P772+P774)*EXP(-O44*0.5)</f>
        <v>82.334765995332631</v>
      </c>
      <c r="Q773">
        <f t="shared" ref="Q773" si="1216">0.5*(R772+R774)*EXP(-Q44*0.5)</f>
        <v>84.923167242433721</v>
      </c>
      <c r="S773">
        <f t="shared" ref="S773" si="1217">0.5*(T772+T774)*EXP(-S44*0.5)</f>
        <v>88.572252802456504</v>
      </c>
      <c r="U773">
        <f t="shared" ref="U773" si="1218">0.5*(V772+V774)*EXP(-U44*0.5)</f>
        <v>92.674581550555516</v>
      </c>
      <c r="W773">
        <f t="shared" ref="W773" si="1219">0.5*(X772+X774)*EXP(-W44*0.5)</f>
        <v>96.223353488886318</v>
      </c>
      <c r="Y773">
        <f t="shared" ref="Y773" si="1220">0.5*(Z772+Z774)*EXP(-Y44*0.5)</f>
        <v>98.971864236725409</v>
      </c>
    </row>
    <row r="774" spans="1:26" x14ac:dyDescent="0.25">
      <c r="B774">
        <f>0.5*(C773+C775)*EXP(-B45*0.5)</f>
        <v>72.61266494679316</v>
      </c>
      <c r="D774">
        <f t="shared" ref="D774" si="1221">0.5*(E773+E775)*EXP(-D45*0.5)</f>
        <v>74.467300833976751</v>
      </c>
      <c r="F774">
        <f t="shared" ref="F774" si="1222">0.5*(G773+G775)*EXP(-F45*0.5)</f>
        <v>76.49143159407096</v>
      </c>
      <c r="H774">
        <f t="shared" ref="H774" si="1223">0.5*(I773+I775)*EXP(-H45*0.5)</f>
        <v>78.659786141094855</v>
      </c>
      <c r="J774">
        <f t="shared" ref="J774" si="1224">0.5*(K773+K775)*EXP(-J45*0.5)</f>
        <v>80.900950040237788</v>
      </c>
      <c r="L774">
        <f t="shared" ref="L774" si="1225">0.5*(M773+M775)*EXP(-L45*0.5)</f>
        <v>83.206760768855062</v>
      </c>
      <c r="N774">
        <f t="shared" ref="N774" si="1226">0.5*(O773+O775)*EXP(-N45*0.5)</f>
        <v>85.47405314762959</v>
      </c>
      <c r="P774">
        <f t="shared" ref="P774" si="1227">0.5*(Q773+Q775)*EXP(-P45*0.5)</f>
        <v>87.317956759066988</v>
      </c>
      <c r="R774">
        <f t="shared" ref="R774" si="1228">0.5*(S773+S775)*EXP(-R45*0.5)</f>
        <v>90.153468586486653</v>
      </c>
      <c r="T774">
        <f t="shared" ref="T774" si="1229">0.5*(U773+U775)*EXP(-T45*0.5)</f>
        <v>92.754892624591406</v>
      </c>
      <c r="V774">
        <f t="shared" ref="V774" si="1230">0.5*(W773+W775)*EXP(-V45*0.5)</f>
        <v>96.006162306854648</v>
      </c>
      <c r="X774">
        <f t="shared" ref="X774" si="1231">0.5*(Y773+Y775)*EXP(-X45*0.5)</f>
        <v>98.121835726993936</v>
      </c>
      <c r="Z774">
        <v>100</v>
      </c>
    </row>
    <row r="775" spans="1:26" x14ac:dyDescent="0.25">
      <c r="C775">
        <f t="shared" ref="C775" si="1232">0.5*(D774+D776)*EXP(-C46*0.5)</f>
        <v>79.322009140252604</v>
      </c>
      <c r="E775">
        <f t="shared" ref="E775" si="1233">0.5*(F774+F776)*EXP(-E46*0.5)</f>
        <v>81.106379958218284</v>
      </c>
      <c r="G775">
        <f t="shared" ref="G775" si="1234">0.5*(H774+H776)*EXP(-G46*0.5)</f>
        <v>82.834291163378921</v>
      </c>
      <c r="I775">
        <f t="shared" ref="I775" si="1235">0.5*(J774+J776)*EXP(-I46*0.5)</f>
        <v>84.649093764790848</v>
      </c>
      <c r="K775">
        <f t="shared" ref="K775" si="1236">0.5*(L774+L776)*EXP(-K46*0.5)</f>
        <v>86.433261841774552</v>
      </c>
      <c r="M775">
        <f t="shared" ref="M775" si="1237">0.5*(N774+N776)*EXP(-M46*0.5)</f>
        <v>88.12785307253462</v>
      </c>
      <c r="O775">
        <f t="shared" ref="O775" si="1238">0.5*(P774+P776)*EXP(-O46*0.5)</f>
        <v>89.593180941421807</v>
      </c>
      <c r="Q775">
        <f t="shared" ref="Q775" si="1239">0.5*(R774+R776)*EXP(-Q46*0.5)</f>
        <v>91.073702879991416</v>
      </c>
      <c r="S775">
        <f t="shared" ref="S775" si="1240">0.5*(T774+T776)*EXP(-S46*0.5)</f>
        <v>93.219886091699863</v>
      </c>
      <c r="U775">
        <f t="shared" ref="U775" si="1241">0.5*(V774+V776)*EXP(-U46*0.5)</f>
        <v>95.669885118780783</v>
      </c>
      <c r="W775">
        <f t="shared" ref="W775" si="1242">0.5*(X774+X776)*EXP(-W46*0.5)</f>
        <v>97.743878084580899</v>
      </c>
      <c r="Y775">
        <f t="shared" ref="Y775" si="1243">0.5*(Z774+Z776)*EXP(-Y46*0.5)</f>
        <v>99.389458747462015</v>
      </c>
    </row>
    <row r="776" spans="1:26" x14ac:dyDescent="0.25">
      <c r="D776">
        <f t="shared" ref="D776" si="1244">0.5*(E775+E777)*EXP(-D47*0.5)</f>
        <v>84.798070937812014</v>
      </c>
      <c r="F776">
        <f t="shared" ref="F776" si="1245">0.5*(G775+G777)*EXP(-F47*0.5)</f>
        <v>86.242841068259438</v>
      </c>
      <c r="H776">
        <f t="shared" ref="H776" si="1246">0.5*(I775+I777)*EXP(-H47*0.5)</f>
        <v>87.676568801134607</v>
      </c>
      <c r="J776">
        <f t="shared" ref="J776" si="1247">0.5*(K775+K777)*EXP(-J47*0.5)</f>
        <v>89.044761603969391</v>
      </c>
      <c r="L776">
        <f t="shared" ref="L776" si="1248">0.5*(M775+M777)*EXP(-L47*0.5)</f>
        <v>90.382647325625683</v>
      </c>
      <c r="N776">
        <f t="shared" ref="N776" si="1249">0.5*(O775+O777)*EXP(-N47*0.5)</f>
        <v>91.570901216789977</v>
      </c>
      <c r="P776">
        <f t="shared" ref="P776" si="1250">0.5*(Q775+Q777)*EXP(-P47*0.5)</f>
        <v>92.54689372894218</v>
      </c>
      <c r="R776">
        <f t="shared" ref="R776" si="1251">0.5*(S775+S777)*EXP(-R47*0.5)</f>
        <v>94.203998336871578</v>
      </c>
      <c r="T776">
        <f t="shared" ref="T776" si="1252">0.5*(U775+U777)*EXP(-T47*0.5)</f>
        <v>95.735316692786597</v>
      </c>
      <c r="V776">
        <f t="shared" ref="V776" si="1253">0.5*(W775+W777)*EXP(-V47*0.5)</f>
        <v>97.636894095417418</v>
      </c>
      <c r="X776">
        <f t="shared" ref="X776" si="1254">0.5*(Y775+Y777)*EXP(-X47*0.5)</f>
        <v>98.882675030593987</v>
      </c>
      <c r="Z776">
        <v>100</v>
      </c>
    </row>
    <row r="777" spans="1:26" x14ac:dyDescent="0.25">
      <c r="E777">
        <f t="shared" ref="E777" si="1255">0.5*(F776+F778)*EXP(-E48*0.5)</f>
        <v>89.07093212297454</v>
      </c>
      <c r="G777">
        <f t="shared" ref="G777" si="1256">0.5*(H776+H778)*EXP(-G48*0.5)</f>
        <v>90.176404418081049</v>
      </c>
      <c r="I777">
        <f t="shared" ref="I777" si="1257">0.5*(J776+J778)*EXP(-I48*0.5)</f>
        <v>91.266970855634526</v>
      </c>
      <c r="K777">
        <f t="shared" ref="K777" si="1258">0.5*(L776+L778)*EXP(-K48*0.5)</f>
        <v>92.289157037538246</v>
      </c>
      <c r="M777">
        <f t="shared" ref="M777" si="1259">0.5*(N776+N778)*EXP(-M48*0.5)</f>
        <v>93.208346323895967</v>
      </c>
      <c r="O777">
        <f t="shared" ref="O777" si="1260">0.5*(P776+P778)*EXP(-O48*0.5)</f>
        <v>93.96655933782354</v>
      </c>
      <c r="Q777">
        <f t="shared" ref="Q777" si="1261">0.5*(R776+R778)*EXP(-Q48*0.5)</f>
        <v>94.792906480964277</v>
      </c>
      <c r="S777">
        <f t="shared" ref="S777" si="1262">0.5*(T776+T778)*EXP(-S48*0.5)</f>
        <v>96.019500857201308</v>
      </c>
      <c r="U777">
        <f t="shared" ref="U777" si="1263">0.5*(V776+V778)*EXP(-U48*0.5)</f>
        <v>97.457051942753964</v>
      </c>
      <c r="W777">
        <f t="shared" ref="W777" si="1264">0.5*(X776+X778)*EXP(-W48*0.5)</f>
        <v>98.656628350108321</v>
      </c>
      <c r="Y777">
        <f t="shared" ref="Y777" si="1265">0.5*(Z776+Z778)*EXP(-Y48*0.5)</f>
        <v>99.637750428200107</v>
      </c>
    </row>
    <row r="778" spans="1:26" x14ac:dyDescent="0.25">
      <c r="F778">
        <f t="shared" ref="F778" si="1266">0.5*(G777+G779)*EXP(-F49*0.5)</f>
        <v>92.181186065220217</v>
      </c>
      <c r="H778">
        <f t="shared" ref="H778" si="1267">0.5*(I777+I779)*EXP(-H49*0.5)</f>
        <v>93.034316401895978</v>
      </c>
      <c r="J778">
        <f t="shared" ref="J778" si="1268">0.5*(K777+K779)*EXP(-J49*0.5)</f>
        <v>93.80958380398279</v>
      </c>
      <c r="L778">
        <f t="shared" ref="L778" si="1269">0.5*(M777+M779)*EXP(-L49*0.5)</f>
        <v>94.54986516992831</v>
      </c>
      <c r="N778">
        <f t="shared" ref="N778" si="1270">0.5*(O777+O779)*EXP(-N49*0.5)</f>
        <v>95.178260525833849</v>
      </c>
      <c r="P778">
        <f t="shared" ref="P778" si="1271">0.5*(Q777+Q779)*EXP(-P49*0.5)</f>
        <v>95.669707519224161</v>
      </c>
      <c r="R778">
        <f t="shared" ref="R778" si="1272">0.5*(S777+S779)*EXP(-R49*0.5)</f>
        <v>96.613021863225867</v>
      </c>
      <c r="T778">
        <f t="shared" ref="T778" si="1273">0.5*(U777+U779)*EXP(-T49*0.5)</f>
        <v>97.500413886079144</v>
      </c>
      <c r="V778">
        <f t="shared" ref="V778" si="1274">0.5*(W777+W779)*EXP(-V49*0.5)</f>
        <v>98.606401173848113</v>
      </c>
      <c r="X778">
        <f t="shared" ref="X778" si="1275">0.5*(Y777+Y779)*EXP(-X49*0.5)</f>
        <v>99.33635400177279</v>
      </c>
      <c r="Z778">
        <v>100</v>
      </c>
    </row>
    <row r="779" spans="1:26" x14ac:dyDescent="0.25">
      <c r="G779">
        <f t="shared" ref="G779" si="1276">0.5*(H778+H780)*EXP(-G50*0.5)</f>
        <v>94.462447027258364</v>
      </c>
      <c r="I779">
        <f t="shared" ref="I779" si="1277">0.5*(J778+J780)*EXP(-I50*0.5)</f>
        <v>95.075840386357854</v>
      </c>
      <c r="K779">
        <f t="shared" ref="K779" si="1278">0.5*(L778+L780)*EXP(-K50*0.5)</f>
        <v>95.636032474937579</v>
      </c>
      <c r="M779">
        <f t="shared" ref="M779" si="1279">0.5*(N778+N780)*EXP(-M50*0.5)</f>
        <v>96.129345593692051</v>
      </c>
      <c r="O779">
        <f t="shared" ref="O779" si="1280">0.5*(P778+P780)*EXP(-O50*0.5)</f>
        <v>96.563092380706877</v>
      </c>
      <c r="Q779">
        <f t="shared" ref="Q779" si="1281">0.5*(R778+R780)*EXP(-Q50*0.5)</f>
        <v>96.974890557386715</v>
      </c>
      <c r="S779">
        <f t="shared" ref="S779" si="1282">0.5*(T778+T780)*EXP(-S50*0.5)</f>
        <v>97.66372241340089</v>
      </c>
      <c r="U779">
        <f t="shared" ref="U779" si="1283">0.5*(V778+V780)*EXP(-U50*0.5)</f>
        <v>98.500069220010857</v>
      </c>
      <c r="W779">
        <f t="shared" ref="W779" si="1284">0.5*(X778+X780)*EXP(-W50*0.5)</f>
        <v>99.201668100297766</v>
      </c>
      <c r="Y779">
        <f t="shared" ref="Y779" si="1285">0.5*(Z778+Z780)*EXP(-Y50*0.5)</f>
        <v>99.785177236262413</v>
      </c>
    </row>
    <row r="780" spans="1:26" x14ac:dyDescent="0.25">
      <c r="H780">
        <f t="shared" ref="H780" si="1286">0.5*(I779+I781)*EXP(-H51*0.5)</f>
        <v>96.075432514028449</v>
      </c>
      <c r="J780">
        <f t="shared" ref="J780" si="1287">0.5*(K779+K781)*EXP(-J51*0.5)</f>
        <v>96.495363284801385</v>
      </c>
      <c r="L780">
        <f t="shared" ref="L780" si="1288">0.5*(M779+M781)*EXP(-L51*0.5)</f>
        <v>96.890734928986888</v>
      </c>
      <c r="N780">
        <f t="shared" ref="N780" si="1289">0.5*(O779+O781)*EXP(-N51*0.5)</f>
        <v>97.21710891342272</v>
      </c>
      <c r="P780">
        <f t="shared" ref="P780" si="1290">0.5*(Q779+Q781)*EXP(-P51*0.5)</f>
        <v>97.464362695115099</v>
      </c>
      <c r="R780">
        <f t="shared" ref="R780" si="1291">0.5*(S779+S781)*EXP(-R51*0.5)</f>
        <v>98.011787619860854</v>
      </c>
      <c r="T780">
        <f t="shared" ref="T780" si="1292">0.5*(U779+U781)*EXP(-T51*0.5)</f>
        <v>98.517449304027153</v>
      </c>
      <c r="V780">
        <f t="shared" ref="V780" si="1293">0.5*(W779+W781)*EXP(-V51*0.5)</f>
        <v>99.155638280242613</v>
      </c>
      <c r="X780">
        <f t="shared" ref="X780" si="1294">0.5*(Y779+Y781)*EXP(-X51*0.5)</f>
        <v>99.606192048321248</v>
      </c>
      <c r="Z780">
        <v>100</v>
      </c>
    </row>
    <row r="781" spans="1:26" x14ac:dyDescent="0.25">
      <c r="I781">
        <f t="shared" ref="I781" si="1295">0.5*(J780+J782)*EXP(-I52*0.5)</f>
        <v>97.205049851773694</v>
      </c>
      <c r="K781">
        <f t="shared" ref="K781" si="1296">0.5*(L780+L782)*EXP(-K52*0.5)</f>
        <v>97.499244251769824</v>
      </c>
      <c r="M781">
        <f t="shared" ref="M781" si="1297">0.5*(N780+N782)*EXP(-M52*0.5)</f>
        <v>97.749341463468326</v>
      </c>
      <c r="O781">
        <f t="shared" ref="O781" si="1298">0.5*(P780+P782)*EXP(-O52*0.5)</f>
        <v>97.941633694386994</v>
      </c>
      <c r="Q781">
        <f t="shared" ref="Q781" si="1299">0.5*(R780+R782)*EXP(-Q52*0.5)</f>
        <v>98.187953554416708</v>
      </c>
      <c r="S781">
        <f t="shared" ref="S781" si="1300">0.5*(T780+T782)*EXP(-S52*0.5)</f>
        <v>98.608652797911006</v>
      </c>
      <c r="U781">
        <f t="shared" ref="U781" si="1301">0.5*(V780+V782)*EXP(-U52*0.5)</f>
        <v>99.083061506363109</v>
      </c>
      <c r="W781">
        <f t="shared" ref="W781" si="1302">0.5*(X780+X782)*EXP(-W52*0.5)</f>
        <v>99.478012042659628</v>
      </c>
      <c r="Y781">
        <f t="shared" ref="Y781" si="1303">0.5*(Z780+Z782)*EXP(-Y52*0.5)</f>
        <v>99.872643236304157</v>
      </c>
    </row>
    <row r="782" spans="1:26" x14ac:dyDescent="0.25">
      <c r="J782">
        <f t="shared" ref="J782" si="1304">0.5*(K781+K783)*EXP(-J53*0.5)</f>
        <v>97.986709378865285</v>
      </c>
      <c r="L782">
        <f t="shared" ref="L782" si="1305">0.5*(M781+M783)*EXP(-L53*0.5)</f>
        <v>98.186669542169199</v>
      </c>
      <c r="N782">
        <f t="shared" ref="N782" si="1306">0.5*(O781+O783)*EXP(-N53*0.5)</f>
        <v>98.33699115299369</v>
      </c>
      <c r="P782">
        <f t="shared" ref="P782" si="1307">0.5*(Q781+Q783)*EXP(-P53*0.5)</f>
        <v>98.465872811298013</v>
      </c>
      <c r="R782">
        <f t="shared" ref="R782" si="1308">0.5*(S781+S783)*EXP(-R53*0.5)</f>
        <v>98.730667102731331</v>
      </c>
      <c r="T782">
        <f t="shared" ref="T782" si="1309">0.5*(U781+U783)*EXP(-T53*0.5)</f>
        <v>99.095486035333494</v>
      </c>
      <c r="V782">
        <f t="shared" ref="V782" si="1310">0.5*(W781+W783)*EXP(-V53*0.5)</f>
        <v>99.445420414548238</v>
      </c>
      <c r="X782">
        <f t="shared" ref="X782" si="1311">0.5*(Y781+Y783)*EXP(-X53*0.5)</f>
        <v>99.670073262641026</v>
      </c>
      <c r="Z782">
        <v>100</v>
      </c>
    </row>
    <row r="783" spans="1:26" x14ac:dyDescent="0.25">
      <c r="K783">
        <f t="shared" ref="K783" si="1312">0.5*(L782+L784)*EXP(-K54*0.5)</f>
        <v>98.541594632988691</v>
      </c>
      <c r="M783">
        <f t="shared" ref="M783" si="1313">0.5*(N782+N784)*EXP(-M54*0.5)</f>
        <v>98.663282645531197</v>
      </c>
      <c r="O783">
        <f t="shared" ref="O783" si="1314">0.5*(P782+P784)*EXP(-O54*0.5)</f>
        <v>98.760789717559689</v>
      </c>
      <c r="Q783">
        <f t="shared" ref="Q783" si="1315">0.5*(R782+R784)*EXP(-Q54*0.5)</f>
        <v>98.870707323476793</v>
      </c>
      <c r="S783">
        <f t="shared" ref="S783" si="1316">0.5*(T782+T784)*EXP(-S54*0.5)</f>
        <v>98.98716062261839</v>
      </c>
      <c r="U783">
        <f t="shared" ref="U783" si="1317">0.5*(V782+V784)*EXP(-U54*0.5)</f>
        <v>99.42092926572866</v>
      </c>
      <c r="W783">
        <f t="shared" ref="W783" si="1318">0.5*(X782+X784)*EXP(-W54*0.5)</f>
        <v>99.622598608517251</v>
      </c>
      <c r="Y783">
        <f t="shared" ref="Y783" si="1319">0.5*(Z782+Z784)*EXP(-Y54*0.5)</f>
        <v>99.731512569750038</v>
      </c>
    </row>
    <row r="784" spans="1:26" x14ac:dyDescent="0.25">
      <c r="L784">
        <f t="shared" ref="L784" si="1320">0.5*(M783+M785)*EXP(-L55*0.5)</f>
        <v>98.933157897750661</v>
      </c>
      <c r="N784">
        <f t="shared" ref="N784" si="1321">0.5*(O783+O785)*EXP(-N55*0.5)</f>
        <v>99.011880484294949</v>
      </c>
      <c r="P784">
        <f t="shared" ref="P784" si="1322">0.5*(Q783+Q785)*EXP(-P55*0.5)</f>
        <v>99.074593846195171</v>
      </c>
      <c r="R784">
        <f t="shared" ref="R784" si="1323">0.5*(S783+S785)*EXP(-R55*0.5)</f>
        <v>99.208768575882644</v>
      </c>
      <c r="T784">
        <f t="shared" ref="T784" si="1324">0.5*(U783+U785)*EXP(-T55*0.5)</f>
        <v>99.449385981810607</v>
      </c>
      <c r="V784">
        <f t="shared" ref="V784" si="1325">0.5*(W783+W785)*EXP(-V55*0.5)</f>
        <v>99.644193796083613</v>
      </c>
      <c r="X784">
        <f t="shared" ref="X784" si="1326">0.5*(Y783+Y785)*EXP(-X55*0.5)</f>
        <v>99.765108024383125</v>
      </c>
      <c r="Z784">
        <v>100</v>
      </c>
    </row>
    <row r="785" spans="13:26" x14ac:dyDescent="0.25">
      <c r="M785">
        <f t="shared" ref="M785" si="1327">0.5*(N784+N786)*EXP(-M56*0.5)</f>
        <v>99.21881905132139</v>
      </c>
      <c r="O785">
        <f t="shared" ref="O785" si="1328">0.5*(P784+P786)*EXP(-O56*0.5)</f>
        <v>99.274391555184778</v>
      </c>
      <c r="Q785">
        <f t="shared" ref="Q785" si="1329">0.5*(R784+R786)*EXP(-Q56*0.5)</f>
        <v>99.347010907043099</v>
      </c>
      <c r="S785">
        <f t="shared" ref="S785" si="1330">0.5*(T784+T786)*EXP(-S56*0.5)</f>
        <v>99.502894118496158</v>
      </c>
      <c r="U785">
        <f t="shared" ref="U785" si="1331">0.5*(V784+V786)*EXP(-U56*0.5)</f>
        <v>99.656202218474078</v>
      </c>
      <c r="W785">
        <f t="shared" ref="W785" si="1332">0.5*(X784+X786)*EXP(-W56*0.5)</f>
        <v>99.785143061885705</v>
      </c>
      <c r="Y785">
        <f t="shared" ref="Y785" si="1333">0.5*(Z784+Z786)*EXP(-Y56*0.5)</f>
        <v>99.955259115161326</v>
      </c>
    </row>
    <row r="786" spans="13:26" x14ac:dyDescent="0.25">
      <c r="N786">
        <f t="shared" ref="N786" si="1334">0.5*(O785+O787)*EXP(-N57*0.5)</f>
        <v>99.434703677991578</v>
      </c>
      <c r="P786">
        <f t="shared" ref="P786" si="1335">0.5*(Q785+Q787)*EXP(-P57*0.5)</f>
        <v>99.481760858170404</v>
      </c>
      <c r="R786">
        <f t="shared" ref="R786" si="1336">0.5*(S785+S787)*EXP(-R57*0.5)</f>
        <v>99.592025123326138</v>
      </c>
      <c r="T786">
        <f t="shared" ref="T786" si="1337">0.5*(U785+U787)*EXP(-T57*0.5)</f>
        <v>99.685098774500048</v>
      </c>
      <c r="V786">
        <f t="shared" ref="V786" si="1338">0.5*(W785+W787)*EXP(-V57*0.5)</f>
        <v>99.809223659810399</v>
      </c>
      <c r="X786">
        <f t="shared" ref="X786" si="1339">0.5*(Y785+Y787)*EXP(-X57*0.5)</f>
        <v>99.917921823019427</v>
      </c>
      <c r="Z786">
        <v>100</v>
      </c>
    </row>
    <row r="787" spans="13:26" x14ac:dyDescent="0.25">
      <c r="O787">
        <f t="shared" ref="O787" si="1340">0.5*(P786+P788)*EXP(-O58*0.5)</f>
        <v>99.599589846411334</v>
      </c>
      <c r="Q787">
        <f t="shared" ref="Q787" si="1341">0.5*(R786+R788)*EXP(-Q58*0.5)</f>
        <v>99.653441640473943</v>
      </c>
      <c r="S787">
        <f t="shared" ref="S787" si="1342">0.5*(T786+T788)*EXP(-S58*0.5)</f>
        <v>99.720225803374191</v>
      </c>
      <c r="U787">
        <f t="shared" ref="U787" si="1343">0.5*(V786+V788)*EXP(-U58*0.5)</f>
        <v>99.815518739884354</v>
      </c>
      <c r="W787">
        <f t="shared" ref="W787" si="1344">0.5*(X786+X788)*EXP(-W58*0.5)</f>
        <v>99.901197370492184</v>
      </c>
      <c r="Y787">
        <f t="shared" ref="Y787" si="1345">0.5*(Z786+Z788)*EXP(-Y58*0.5)</f>
        <v>99.973484753382294</v>
      </c>
    </row>
    <row r="788" spans="13:26" x14ac:dyDescent="0.25">
      <c r="P788">
        <f t="shared" ref="P788" si="1346">0.5*(Q787+Q789)*EXP(-P59*0.5)</f>
        <v>99.72044840947467</v>
      </c>
      <c r="R788">
        <f t="shared" ref="R788" si="1347">0.5*(S787+S789)*EXP(-R59*0.5)</f>
        <v>99.772335872098168</v>
      </c>
      <c r="T788">
        <f t="shared" ref="T788" si="1348">0.5*(U787+U789)*EXP(-T59*0.5)</f>
        <v>99.828598122579336</v>
      </c>
      <c r="V788">
        <f t="shared" ref="V788" si="1349">0.5*(W787+W789)*EXP(-V59*0.5)</f>
        <v>99.902020862960654</v>
      </c>
      <c r="X788">
        <f t="shared" ref="X788" si="1350">0.5*(Y787+Y789)*EXP(-X59*0.5)</f>
        <v>99.951353294708724</v>
      </c>
      <c r="Z788">
        <v>100</v>
      </c>
    </row>
    <row r="789" spans="13:26" x14ac:dyDescent="0.25">
      <c r="Q789">
        <f t="shared" ref="Q789" si="1351">0.5*(R788+R790)*EXP(-Q60*0.5)</f>
        <v>99.807323891364192</v>
      </c>
      <c r="S789">
        <f t="shared" ref="S789" si="1352">0.5*(T788+T790)*EXP(-S60*0.5)</f>
        <v>99.845452955844493</v>
      </c>
      <c r="U789">
        <f t="shared" ref="U789" si="1353">0.5*(V788+V790)*EXP(-U60*0.5)</f>
        <v>99.899416473393714</v>
      </c>
      <c r="W789">
        <f t="shared" ref="W789" si="1354">0.5*(X788+X790)*EXP(-W60*0.5)</f>
        <v>99.941438672776627</v>
      </c>
      <c r="Y789">
        <f t="shared" ref="Y789" si="1355">0.5*(Z788+Z790)*EXP(-Y60*0.5)</f>
        <v>99.984286582685627</v>
      </c>
    </row>
    <row r="790" spans="13:26" x14ac:dyDescent="0.25">
      <c r="R790">
        <f t="shared" ref="R790" si="1356">0.5*(S789+S791)*EXP(-R61*0.5)</f>
        <v>99.873207730293785</v>
      </c>
      <c r="T790">
        <f t="shared" ref="T790" si="1357">0.5*(U789+U791)*EXP(-T61*0.5)</f>
        <v>99.903957914382033</v>
      </c>
      <c r="V790">
        <f t="shared" ref="V790" si="1358">0.5*(W789+W791)*EXP(-V61*0.5)</f>
        <v>99.942401666585454</v>
      </c>
      <c r="X790">
        <f t="shared" ref="X790" si="1359">0.5*(Y789+Y791)*EXP(-X61*0.5)</f>
        <v>99.971169696984944</v>
      </c>
      <c r="Z790">
        <v>100</v>
      </c>
    </row>
    <row r="791" spans="13:26" x14ac:dyDescent="0.25">
      <c r="S791">
        <f t="shared" ref="S791" si="1360">0.5*(T790+T792)*EXP(-S62*0.5)</f>
        <v>99.912248797564843</v>
      </c>
      <c r="U791">
        <f t="shared" ref="U791" si="1361">0.5*(V790+V792)*EXP(-U62*0.5)</f>
        <v>99.941316097999859</v>
      </c>
      <c r="W791">
        <f t="shared" ref="W791" si="1362">0.5*(X790+X792)*EXP(-W62*0.5)</f>
        <v>99.965293048161428</v>
      </c>
      <c r="Y791">
        <f t="shared" ref="Y791" si="1363">0.5*(Z790+Z792)*EXP(-Y62*0.5)</f>
        <v>99.990688148090257</v>
      </c>
    </row>
    <row r="792" spans="13:26" x14ac:dyDescent="0.25">
      <c r="T792">
        <f t="shared" ref="T792" si="1364">0.5*(U791+U793)*EXP(-T63*0.5)</f>
        <v>99.944210495503881</v>
      </c>
      <c r="V792">
        <f t="shared" ref="V792" si="1365">0.5*(W791+W793)*EXP(-V63*0.5)</f>
        <v>99.966133659179818</v>
      </c>
      <c r="X792">
        <f t="shared" ref="X792" si="1366">0.5*(Y791+Y793)*EXP(-X63*0.5)</f>
        <v>99.982914518223822</v>
      </c>
      <c r="Z792">
        <v>100</v>
      </c>
    </row>
    <row r="793" spans="13:26" x14ac:dyDescent="0.25">
      <c r="U793">
        <f t="shared" ref="U793" si="1367">0.5*(V792+V794)*EXP(-U64*0.5)</f>
        <v>99.9657506864949</v>
      </c>
      <c r="W793">
        <f t="shared" ref="W793" si="1368">0.5*(X792+X794)*EXP(-W64*0.5)</f>
        <v>99.979431614716006</v>
      </c>
      <c r="Y793">
        <f t="shared" ref="Y793" si="1369">0.5*(Z792+Z794)*EXP(-Y64*0.5)</f>
        <v>99.994481820636835</v>
      </c>
    </row>
    <row r="794" spans="13:26" x14ac:dyDescent="0.25">
      <c r="V794">
        <f t="shared" ref="V794" si="1370">0.5*(W793+W795)*EXP(-V65*0.5)</f>
        <v>99.980083117038319</v>
      </c>
      <c r="X794">
        <f t="shared" ref="X794" si="1371">0.5*(Y793+Y795)*EXP(-X65*0.5)</f>
        <v>99.989875006996343</v>
      </c>
      <c r="Z794">
        <v>100</v>
      </c>
    </row>
    <row r="795" spans="13:26" x14ac:dyDescent="0.25">
      <c r="W795">
        <f t="shared" ref="W795" si="1372">0.5*(X794+X796)*EXP(-W66*0.5)</f>
        <v>99.987810918418702</v>
      </c>
      <c r="Y795">
        <f t="shared" ref="Y795" si="1373">0.5*(Z794+Z796)*EXP(-Y66*0.5)</f>
        <v>99.996729966450488</v>
      </c>
    </row>
    <row r="796" spans="13:26" x14ac:dyDescent="0.25">
      <c r="X796">
        <f t="shared" ref="X796" si="1374">0.5*(Y795+Y797)*EXP(-X67*0.5)</f>
        <v>99.993999934385698</v>
      </c>
      <c r="Z796">
        <v>100</v>
      </c>
    </row>
    <row r="797" spans="13:26" x14ac:dyDescent="0.25">
      <c r="Y797">
        <f t="shared" ref="Y797" si="1375">0.5*(Z796+Z798)*EXP(-Y68*0.5)</f>
        <v>99.99806221042499</v>
      </c>
    </row>
    <row r="798" spans="13:26" x14ac:dyDescent="0.25">
      <c r="Z798">
        <v>100</v>
      </c>
    </row>
    <row r="802" spans="13:30" x14ac:dyDescent="0.25">
      <c r="AA802">
        <v>100</v>
      </c>
      <c r="AC802">
        <f>0.5*LN(Z19/Z21)/SQRT(0.5)</f>
        <v>0.34999997525756038</v>
      </c>
      <c r="AD802">
        <f>(C27-AC802)^2*10000</f>
        <v>6.1218831721903667E-12</v>
      </c>
    </row>
    <row r="803" spans="13:30" x14ac:dyDescent="0.25">
      <c r="Z803">
        <f>0.5*(AA802+AA804)*EXP(-Z19*0.5)</f>
        <v>1.3130523500868652</v>
      </c>
      <c r="AD803">
        <f>(D27-A828)^2*10000</f>
        <v>1.3198470346113946E-9</v>
      </c>
    </row>
    <row r="804" spans="13:30" x14ac:dyDescent="0.25">
      <c r="Y804">
        <f>0.5*(Z803+Z805)*EXP(-Y20*0.5)</f>
        <v>1.7048859345880425E-2</v>
      </c>
      <c r="AA804">
        <v>100</v>
      </c>
      <c r="AD804">
        <f>AD802+AD803</f>
        <v>1.3259689177835849E-9</v>
      </c>
    </row>
    <row r="805" spans="13:30" x14ac:dyDescent="0.25">
      <c r="X805">
        <f>0.5*(Y804+Y806)*EXP(-X21*0.5)</f>
        <v>8.7282907148332814E-4</v>
      </c>
      <c r="Z805">
        <f t="shared" ref="Z805" si="1376">0.5*(AA804+AA806)*EXP(-Z21*0.5)</f>
        <v>7.1273891196443246</v>
      </c>
    </row>
    <row r="806" spans="13:30" x14ac:dyDescent="0.25">
      <c r="W806">
        <f>0.5*(X805+X807)*EXP(-W22*0.5)</f>
        <v>6.4326202139352293E-4</v>
      </c>
      <c r="Y806">
        <f t="shared" ref="Y806" si="1377">0.5*(Z805+Z807)*EXP(-Y22*0.5)</f>
        <v>0.51730019098152247</v>
      </c>
      <c r="AA806">
        <v>100</v>
      </c>
    </row>
    <row r="807" spans="13:30" x14ac:dyDescent="0.25">
      <c r="V807">
        <f>0.5*(W806+W808)*EXP(-V23*0.5)</f>
        <v>1.7858757997433818E-4</v>
      </c>
      <c r="X807">
        <f t="shared" ref="X807" si="1378">0.5*(Y806+Y808)*EXP(-X23*0.5)</f>
        <v>7.8475964164741049E-2</v>
      </c>
      <c r="Z807">
        <f t="shared" ref="Z807" si="1379">0.5*(AA806+AA808)*EXP(-Z23*0.5)</f>
        <v>19.98766691374264</v>
      </c>
    </row>
    <row r="808" spans="13:30" x14ac:dyDescent="0.25">
      <c r="U808">
        <f>0.5*(V807+V809)*EXP(-U24*0.5)</f>
        <v>3.4363440898455734E-5</v>
      </c>
      <c r="W808">
        <f t="shared" ref="W808" si="1380">0.5*(X807+X809)*EXP(-W24*0.5)</f>
        <v>5.8244841097751215E-2</v>
      </c>
      <c r="Y808">
        <f t="shared" ref="Y808" si="1381">0.5*(Z807+Z809)*EXP(-Y24*0.5)</f>
        <v>4.1477948207791684</v>
      </c>
      <c r="AA808">
        <v>100</v>
      </c>
    </row>
    <row r="809" spans="13:30" x14ac:dyDescent="0.25">
      <c r="T809">
        <f>0.5*(U808+U810)*EXP(-T25*0.5)</f>
        <v>7.1917746006704269E-5</v>
      </c>
      <c r="V809">
        <f t="shared" ref="V809" si="1382">0.5*(W808+W810)*EXP(-V25*0.5)</f>
        <v>2.840782039843559E-2</v>
      </c>
      <c r="X809">
        <f t="shared" ref="X809" si="1383">0.5*(Y808+Y810)*EXP(-X25*0.5)</f>
        <v>1.2614759408403609</v>
      </c>
      <c r="Z809">
        <f t="shared" ref="Z809" si="1384">0.5*(AA808+AA810)*EXP(-Z25*0.5)</f>
        <v>37.476078688972059</v>
      </c>
    </row>
    <row r="810" spans="13:30" x14ac:dyDescent="0.25">
      <c r="S810">
        <f>0.5*(T809+T811)*EXP(-S26*0.5)</f>
        <v>3.5759439437859768E-4</v>
      </c>
      <c r="U810">
        <f t="shared" ref="U810" si="1385">0.5*(V809+V811)*EXP(-U26*0.5)</f>
        <v>1.1009045762152218E-2</v>
      </c>
      <c r="W810">
        <f t="shared" ref="W810" si="1386">0.5*(X809+X811)*EXP(-W26*0.5)</f>
        <v>0.97390347448556625</v>
      </c>
      <c r="Y810">
        <f t="shared" ref="Y810" si="1387">0.5*(Z809+Z811)*EXP(-Y26*0.5)</f>
        <v>14.682037088607103</v>
      </c>
      <c r="AA810">
        <v>100</v>
      </c>
    </row>
    <row r="811" spans="13:30" x14ac:dyDescent="0.25">
      <c r="R811">
        <f>0.5*(S810+S812)*EXP(-R27*0.5)</f>
        <v>2.1766318234690083E-3</v>
      </c>
      <c r="T811">
        <f t="shared" ref="T811" si="1388">0.5*(U810+U812)*EXP(-T27*0.5)</f>
        <v>1.630217218415804E-2</v>
      </c>
      <c r="V811">
        <f t="shared" ref="V811" si="1389">0.5*(W810+W812)*EXP(-V27*0.5)</f>
        <v>0.64816351093012148</v>
      </c>
      <c r="X811">
        <f t="shared" ref="X811" si="1390">0.5*(Y810+Y812)*EXP(-X27*0.5)</f>
        <v>7.0210410288198428</v>
      </c>
      <c r="Z811">
        <f t="shared" ref="Z811" si="1391">0.5*(AA810+AA812)*EXP(-Z27*0.5)</f>
        <v>54.975141401260217</v>
      </c>
    </row>
    <row r="812" spans="13:30" x14ac:dyDescent="0.25">
      <c r="Q812">
        <f>0.5*(R811+R813)*EXP(-Q28*0.5)</f>
        <v>2.3229389598025474E-3</v>
      </c>
      <c r="S812">
        <f t="shared" ref="S812" si="1392">0.5*(T811+T813)*EXP(-S28*0.5)</f>
        <v>3.9685277852509117E-2</v>
      </c>
      <c r="U812">
        <f t="shared" ref="U812" si="1393">0.5*(V811+V813)*EXP(-U28*0.5)</f>
        <v>0.37272888185225778</v>
      </c>
      <c r="W812">
        <f t="shared" ref="W812" si="1394">0.5*(X811+X813)*EXP(-W28*0.5)</f>
        <v>5.755017878641473</v>
      </c>
      <c r="Y812">
        <f t="shared" ref="Y812" si="1395">0.5*(Z811+Z813)*EXP(-Y28*0.5)</f>
        <v>31.526649869454637</v>
      </c>
      <c r="AA812">
        <v>100</v>
      </c>
    </row>
    <row r="813" spans="13:30" x14ac:dyDescent="0.25">
      <c r="P813">
        <f>0.5*(Q812+Q814)*EXP(-P29*0.5)</f>
        <v>2.2610516691550505E-2</v>
      </c>
      <c r="R813">
        <f t="shared" ref="R813" si="1396">0.5*(S812+S814)*EXP(-R29*0.5)</f>
        <v>0.11912841545569358</v>
      </c>
      <c r="T813">
        <f t="shared" ref="T813" si="1397">0.5*(U812+U814)*EXP(-T29*0.5)</f>
        <v>0.45353789467123445</v>
      </c>
      <c r="V813">
        <f t="shared" ref="V813" si="1398">0.5*(W812+W814)*EXP(-V29*0.5)</f>
        <v>4.5673694006610495</v>
      </c>
      <c r="X813">
        <f t="shared" ref="X813" si="1399">0.5*(Y812+Y814)*EXP(-X29*0.5)</f>
        <v>20.117472624847593</v>
      </c>
      <c r="Z813">
        <f t="shared" ref="Z813" si="1400">0.5*(AA812+AA814)*EXP(-Z29*0.5)</f>
        <v>69.439880366832298</v>
      </c>
    </row>
    <row r="814" spans="13:30" x14ac:dyDescent="0.25">
      <c r="O814">
        <f>0.5*(P813+P815)*EXP(-O30*0.5)</f>
        <v>7.1658277256976717E-4</v>
      </c>
      <c r="Q814">
        <f t="shared" ref="Q814" si="1401">0.5*(R813+R815)*EXP(-Q30*0.5)</f>
        <v>0.13725792139154555</v>
      </c>
      <c r="S814">
        <f t="shared" ref="S814" si="1402">0.5*(T813+T815)*EXP(-S30*0.5)</f>
        <v>0.74428741005957433</v>
      </c>
      <c r="U814">
        <f t="shared" ref="U814" si="1403">0.5*(V813+V815)*EXP(-U30*0.5)</f>
        <v>3.3068943758563569</v>
      </c>
      <c r="W814">
        <f t="shared" ref="W814" si="1404">0.5*(X813+X815)*EXP(-W30*0.5)</f>
        <v>17.521946041471239</v>
      </c>
      <c r="Y814">
        <f t="shared" ref="Y814" si="1405">0.5*(Z813+Z815)*EXP(-Y30*0.5)</f>
        <v>49.970876785296959</v>
      </c>
      <c r="AA814">
        <v>100</v>
      </c>
    </row>
    <row r="815" spans="13:30" x14ac:dyDescent="0.25">
      <c r="N815">
        <f>0.5*(O814+O816)*EXP(-N31*0.5)</f>
        <v>2.782921819444591E-3</v>
      </c>
      <c r="P815">
        <f t="shared" ref="P815" si="1406">0.5*(Q814+Q816)*EXP(-P31*0.5)</f>
        <v>0.50291763888718244</v>
      </c>
      <c r="R815">
        <f t="shared" ref="R815" si="1407">0.5*(S814+S816)*EXP(-R31*0.5)</f>
        <v>1.4621856362269665</v>
      </c>
      <c r="T815">
        <f t="shared" ref="T815" si="1408">0.5*(U814+U816)*EXP(-T31*0.5)</f>
        <v>3.633505074908371</v>
      </c>
      <c r="V815">
        <f t="shared" ref="V815" si="1409">0.5*(W814+W816)*EXP(-V31*0.5)</f>
        <v>15.399726957456002</v>
      </c>
      <c r="X815">
        <f t="shared" ref="X815" si="1410">0.5*(Y814+Y816)*EXP(-X31*0.5)</f>
        <v>38.140616585092502</v>
      </c>
      <c r="Z815">
        <f t="shared" ref="Z815" si="1411">0.5*(AA814+AA816)*EXP(-Z31*0.5)</f>
        <v>80.065789574510873</v>
      </c>
    </row>
    <row r="816" spans="13:30" x14ac:dyDescent="0.25">
      <c r="M816">
        <f>0.5*(N815+N817)*EXP(-M32*0.5)</f>
        <v>1.2828960899336033E-2</v>
      </c>
      <c r="O816">
        <f t="shared" ref="O816" si="1412">0.5*(P815+P817)*EXP(-O32*0.5)</f>
        <v>0.19522386118320653</v>
      </c>
      <c r="Q816">
        <f t="shared" ref="Q816" si="1413">0.5*(R815+R817)*EXP(-Q32*0.5)</f>
        <v>1.7045739579377284</v>
      </c>
      <c r="S816">
        <f t="shared" ref="S816" si="1414">0.5*(T815+T817)*EXP(-S32*0.5)</f>
        <v>4.7976408600924412</v>
      </c>
      <c r="U816">
        <f t="shared" ref="U816" si="1415">0.5*(V815+V817)*EXP(-U32*0.5)</f>
        <v>12.791132345111317</v>
      </c>
      <c r="W816">
        <f t="shared" ref="W816" si="1416">0.5*(X815+X817)*EXP(-W32*0.5)</f>
        <v>34.87064503500924</v>
      </c>
      <c r="Y816">
        <f t="shared" ref="Y816" si="1417">0.5*(Z815+Z817)*EXP(-Y32*0.5)</f>
        <v>65.92558526096829</v>
      </c>
      <c r="AA816">
        <v>100</v>
      </c>
    </row>
    <row r="817" spans="1:27" x14ac:dyDescent="0.25">
      <c r="L817">
        <f>0.5*(M816+M818)*EXP(-L33*0.5)</f>
        <v>6.3190736054251559E-2</v>
      </c>
      <c r="N817">
        <f t="shared" ref="N817" si="1418">0.5*(O816+O818)*EXP(-N33*0.5)</f>
        <v>0.41238435941757579</v>
      </c>
      <c r="P817">
        <f t="shared" ref="P817" si="1419">0.5*(Q816+Q818)*EXP(-P33*0.5)</f>
        <v>3.6110589124028265</v>
      </c>
      <c r="R817">
        <f t="shared" ref="R817" si="1420">0.5*(S816+S818)*EXP(-R33*0.5)</f>
        <v>7.2636217288059921</v>
      </c>
      <c r="T817">
        <f t="shared" ref="T817" si="1421">0.5*(U816+U818)*EXP(-T33*0.5)</f>
        <v>13.395591766629307</v>
      </c>
      <c r="V817">
        <f t="shared" ref="V817" si="1422">0.5*(W816+W818)*EXP(-V33*0.5)</f>
        <v>32.517095118033296</v>
      </c>
      <c r="X817">
        <f t="shared" ref="X817" si="1423">0.5*(Y816+Y818)*EXP(-X33*0.5)</f>
        <v>56.113375878407766</v>
      </c>
      <c r="Z817">
        <f t="shared" ref="Z817" si="1424">0.5*(AA816+AA818)*EXP(-Z33*0.5)</f>
        <v>87.325806692146514</v>
      </c>
    </row>
    <row r="818" spans="1:27" x14ac:dyDescent="0.25">
      <c r="K818">
        <f>0.5*(L817+L819)*EXP(-K34*0.5)</f>
        <v>0.64674746037972652</v>
      </c>
      <c r="M818">
        <f t="shared" ref="M818" si="1425">0.5*(N817+N819)*EXP(-M34*0.5)</f>
        <v>0.88867665327461265</v>
      </c>
      <c r="O818">
        <f t="shared" ref="O818" si="1426">0.5*(P817+P819)*EXP(-O34*0.5)</f>
        <v>3.2178708063806933</v>
      </c>
      <c r="Q818">
        <f t="shared" ref="Q818" si="1427">0.5*(R817+R819)*EXP(-Q34*0.5)</f>
        <v>8.2879874392872797</v>
      </c>
      <c r="S818">
        <f t="shared" ref="S818" si="1428">0.5*(T817+T819)*EXP(-S34*0.5)</f>
        <v>15.676027861778559</v>
      </c>
      <c r="U818">
        <f t="shared" ref="U818" si="1429">0.5*(V817+V819)*EXP(-U34*0.5)</f>
        <v>29.298829465156135</v>
      </c>
      <c r="W818">
        <f t="shared" ref="W818" si="1430">0.5*(X817+X819)*EXP(-W34*0.5)</f>
        <v>53.069633964268</v>
      </c>
      <c r="Y818">
        <f t="shared" ref="Y818" si="1431">0.5*(Z817+Z819)*EXP(-Y34*0.5)</f>
        <v>77.868637399904514</v>
      </c>
      <c r="AA818">
        <v>100</v>
      </c>
    </row>
    <row r="819" spans="1:27" x14ac:dyDescent="0.25">
      <c r="J819">
        <f>0.5*(K818+K820)*EXP(-J35*0.5)</f>
        <v>2.1338709749002307</v>
      </c>
      <c r="L819">
        <f t="shared" ref="L819" si="1432">0.5*(M818+M820)*EXP(-L35*0.5)</f>
        <v>1.9530304476388904</v>
      </c>
      <c r="N819">
        <f t="shared" ref="N819" si="1433">0.5*(O818+O820)*EXP(-N35*0.5)</f>
        <v>4.9821104906846712</v>
      </c>
      <c r="P819">
        <f t="shared" ref="P819" si="1434">0.5*(Q818+Q820)*EXP(-P35*0.5)</f>
        <v>12.850590646700402</v>
      </c>
      <c r="R819">
        <f t="shared" ref="R819" si="1435">0.5*(S818+S820)*EXP(-R35*0.5)</f>
        <v>20.187008561499837</v>
      </c>
      <c r="T819">
        <f t="shared" ref="T819" si="1436">0.5*(U818+U820)*EXP(-T35*0.5)</f>
        <v>30.032105055235746</v>
      </c>
      <c r="V819">
        <f t="shared" ref="V819" si="1437">0.5*(W818+W820)*EXP(-V35*0.5)</f>
        <v>51.17416688210357</v>
      </c>
      <c r="X819">
        <f t="shared" ref="X819" si="1438">0.5*(Y818+Y820)*EXP(-X35*0.5)</f>
        <v>70.766326370793124</v>
      </c>
      <c r="Z819">
        <f t="shared" ref="Z819" si="1439">0.5*(AA818+AA820)*EXP(-Z35*0.5)</f>
        <v>92.070677260647386</v>
      </c>
    </row>
    <row r="820" spans="1:27" x14ac:dyDescent="0.25">
      <c r="I820">
        <f>0.5*(J819+J821)*EXP(-I36*0.5)</f>
        <v>5.2537429934091247</v>
      </c>
      <c r="K820">
        <f t="shared" ref="K820" si="1440">0.5*(L819+L821)*EXP(-K36*0.5)</f>
        <v>5.5773349545779185</v>
      </c>
      <c r="M820">
        <f t="shared" ref="M820" si="1441">0.5*(N819+N821)*EXP(-M36*0.5)</f>
        <v>7.6629329178428724</v>
      </c>
      <c r="O820">
        <f t="shared" ref="O820" si="1442">0.5*(P819+P821)*EXP(-O36*0.5)</f>
        <v>14.33885488223517</v>
      </c>
      <c r="Q820">
        <f t="shared" ref="Q820" si="1443">0.5*(R819+R821)*EXP(-Q36*0.5)</f>
        <v>22.3062098318347</v>
      </c>
      <c r="S820">
        <f t="shared" ref="S820" si="1444">0.5*(T819+T821)*EXP(-S36*0.5)</f>
        <v>32.861979123843831</v>
      </c>
      <c r="U820">
        <f t="shared" ref="U820" si="1445">0.5*(V819+V821)*EXP(-U36*0.5)</f>
        <v>48.333748837436694</v>
      </c>
      <c r="W820">
        <f t="shared" ref="W820" si="1446">0.5*(X819+X821)*EXP(-W36*0.5)</f>
        <v>68.412140282136008</v>
      </c>
      <c r="Y820">
        <f t="shared" ref="Y820" si="1447">0.5*(Z819+Z821)*EXP(-Y36*0.5)</f>
        <v>86.056588028559986</v>
      </c>
      <c r="AA820">
        <v>100</v>
      </c>
    </row>
    <row r="821" spans="1:27" x14ac:dyDescent="0.25">
      <c r="H821">
        <f>0.5*(I820+I822)*EXP(-H37*0.5)</f>
        <v>9.7101624685446026</v>
      </c>
      <c r="J821">
        <f t="shared" ref="J821" si="1448">0.5*(K820+K822)*EXP(-J37*0.5)</f>
        <v>10.528466782975787</v>
      </c>
      <c r="L821">
        <f t="shared" ref="L821" si="1449">0.5*(M820+M822)*EXP(-L37*0.5)</f>
        <v>11.72483393133518</v>
      </c>
      <c r="N821">
        <f t="shared" ref="N821" si="1450">0.5*(O820+O822)*EXP(-N37*0.5)</f>
        <v>18.881054609634123</v>
      </c>
      <c r="P821">
        <f t="shared" ref="P821" si="1451">0.5*(Q820+Q822)*EXP(-P37*0.5)</f>
        <v>28.856880660588832</v>
      </c>
      <c r="R821">
        <f t="shared" ref="R821" si="1452">0.5*(S820+S822)*EXP(-R37*0.5)</f>
        <v>38.297364921718874</v>
      </c>
      <c r="T821">
        <f t="shared" ref="T821" si="1453">0.5*(U820+U822)*EXP(-T37*0.5)</f>
        <v>49.05251292069687</v>
      </c>
      <c r="V821">
        <f t="shared" ref="V821" si="1454">0.5*(W820+W822)*EXP(-V37*0.5)</f>
        <v>67.185096332023406</v>
      </c>
      <c r="X821">
        <f t="shared" ref="X821" si="1455">0.5*(Y820+Y822)*EXP(-X37*0.5)</f>
        <v>81.322783619614114</v>
      </c>
      <c r="Z821">
        <f t="shared" ref="Z821" si="1456">0.5*(AA820+AA822)*EXP(-Z37*0.5)</f>
        <v>95.088688666895294</v>
      </c>
    </row>
    <row r="822" spans="1:27" x14ac:dyDescent="0.25">
      <c r="G822">
        <f>0.5*(H821+H823)*EXP(-G38*0.5)</f>
        <v>16.266223895680888</v>
      </c>
      <c r="I822">
        <f t="shared" ref="I822" si="1457">0.5*(J821+J823)*EXP(-I38*0.5)</f>
        <v>17.459363048873641</v>
      </c>
      <c r="K822">
        <f t="shared" ref="K822" si="1458">0.5*(L821+L823)*EXP(-K38*0.5)</f>
        <v>19.465388011462004</v>
      </c>
      <c r="M822">
        <f t="shared" ref="M822" si="1459">0.5*(N821+N823)*EXP(-M38*0.5)</f>
        <v>24.389378950694194</v>
      </c>
      <c r="O822">
        <f t="shared" ref="O822" si="1460">0.5*(P821+P823)*EXP(-O38*0.5)</f>
        <v>32.994430878184154</v>
      </c>
      <c r="Q822">
        <f t="shared" ref="Q822" si="1461">0.5*(R821+R823)*EXP(-Q38*0.5)</f>
        <v>41.066541986785936</v>
      </c>
      <c r="S822">
        <f t="shared" ref="S822" si="1462">0.5*(T821+T823)*EXP(-S38*0.5)</f>
        <v>51.690592568390578</v>
      </c>
      <c r="U822">
        <f t="shared" ref="U822" si="1463">0.5*(V821+V823)*EXP(-U38*0.5)</f>
        <v>65.161902392667514</v>
      </c>
      <c r="W822">
        <f t="shared" ref="W822" si="1464">0.5*(X821+X823)*EXP(-W38*0.5)</f>
        <v>79.695410212305305</v>
      </c>
      <c r="Y822">
        <f t="shared" ref="Y822" si="1465">0.5*(Z821+Z823)*EXP(-Y38*0.5)</f>
        <v>91.379886938674545</v>
      </c>
      <c r="AA822">
        <v>100</v>
      </c>
    </row>
    <row r="823" spans="1:27" x14ac:dyDescent="0.25">
      <c r="F823">
        <f>0.5*(G822+G824)*EXP(-F39*0.5)</f>
        <v>23.841462735536652</v>
      </c>
      <c r="H823">
        <f t="shared" ref="H823" si="1466">0.5*(I822+I824)*EXP(-H39*0.5)</f>
        <v>25.113494254130472</v>
      </c>
      <c r="J823">
        <f t="shared" ref="J823" si="1467">0.5*(K822+K824)*EXP(-J39*0.5)</f>
        <v>27.514761818765276</v>
      </c>
      <c r="L823">
        <f t="shared" ref="L823" si="1468">0.5*(M822+M824)*EXP(-L39*0.5)</f>
        <v>31.029378606266981</v>
      </c>
      <c r="N823">
        <f t="shared" ref="N823" si="1469">0.5*(O822+O824)*EXP(-N39*0.5)</f>
        <v>39.319283080377801</v>
      </c>
      <c r="P823">
        <f t="shared" ref="P823" si="1470">0.5*(Q822+Q824)*EXP(-P39*0.5)</f>
        <v>47.763932823156772</v>
      </c>
      <c r="R823">
        <f t="shared" ref="R823" si="1471">0.5*(S822+S824)*EXP(-R39*0.5)</f>
        <v>56.682051750451237</v>
      </c>
      <c r="T823">
        <f t="shared" ref="T823" si="1472">0.5*(U822+U824)*EXP(-T39*0.5)</f>
        <v>65.786211732715742</v>
      </c>
      <c r="V823">
        <f t="shared" ref="V823" si="1473">0.5*(W822+W824)*EXP(-V39*0.5)</f>
        <v>79.019404237186563</v>
      </c>
      <c r="X823">
        <f t="shared" ref="X823" si="1474">0.5*(Y822+Y824)*EXP(-X39*0.5)</f>
        <v>88.377949427006172</v>
      </c>
      <c r="Z823">
        <f t="shared" ref="Z823" si="1475">0.5*(AA822+AA824)*EXP(-Z39*0.5)</f>
        <v>96.976755738518207</v>
      </c>
    </row>
    <row r="824" spans="1:27" x14ac:dyDescent="0.25">
      <c r="E824">
        <f>0.5*(F823+F825)*EXP(-E40*0.5)</f>
        <v>32.36416170022968</v>
      </c>
      <c r="G824">
        <f t="shared" ref="G824" si="1476">0.5*(H823+H825)*EXP(-G40*0.5)</f>
        <v>33.932656922344187</v>
      </c>
      <c r="I824">
        <f t="shared" ref="I824" si="1477">0.5*(J823+J825)*EXP(-I40*0.5)</f>
        <v>36.514816119831437</v>
      </c>
      <c r="K824">
        <f t="shared" ref="K824" si="1478">0.5*(L823+L825)*EXP(-K40*0.5)</f>
        <v>40.1259185276407</v>
      </c>
      <c r="M824">
        <f t="shared" ref="M824" si="1479">0.5*(N823+N825)*EXP(-M40*0.5)</f>
        <v>45.906887694123206</v>
      </c>
      <c r="O824">
        <f t="shared" ref="O824" si="1480">0.5*(P823+P825)*EXP(-O40*0.5)</f>
        <v>53.058214756005974</v>
      </c>
      <c r="Q824">
        <f t="shared" ref="Q824" si="1481">0.5*(R823+R825)*EXP(-Q40*0.5)</f>
        <v>59.379746193988979</v>
      </c>
      <c r="S824">
        <f t="shared" ref="S824" si="1482">0.5*(T823+T825)*EXP(-S40*0.5)</f>
        <v>67.850278812412597</v>
      </c>
      <c r="U824">
        <f t="shared" ref="U824" si="1483">0.5*(V823+V825)*EXP(-U40*0.5)</f>
        <v>77.76387978371524</v>
      </c>
      <c r="W824">
        <f t="shared" ref="W824" si="1484">0.5*(X823+X825)*EXP(-W40*0.5)</f>
        <v>87.326823847128864</v>
      </c>
      <c r="Y824">
        <f t="shared" ref="Y824" si="1485">0.5*(Z823+Z825)*EXP(-Y40*0.5)</f>
        <v>94.732008842195143</v>
      </c>
      <c r="AA824">
        <v>100</v>
      </c>
    </row>
    <row r="825" spans="1:27" x14ac:dyDescent="0.25">
      <c r="D825">
        <f>0.5*(E824+E826)*EXP(-D41*0.5)</f>
        <v>40.874236304152575</v>
      </c>
      <c r="F825">
        <f t="shared" ref="F825" si="1486">0.5*(G824+G826)*EXP(-F41*0.5)</f>
        <v>42.643498379625107</v>
      </c>
      <c r="H825">
        <f t="shared" ref="H825" si="1487">0.5*(I824+I826)*EXP(-H41*0.5)</f>
        <v>45.067869215196019</v>
      </c>
      <c r="J825">
        <f t="shared" ref="J825" si="1488">0.5*(K824+K826)*EXP(-J41*0.5)</f>
        <v>48.447486387027872</v>
      </c>
      <c r="L825">
        <f t="shared" ref="L825" si="1489">0.5*(M824+M826)*EXP(-L41*0.5)</f>
        <v>52.751781276422136</v>
      </c>
      <c r="N825">
        <f t="shared" ref="N825" si="1490">0.5*(O824+O826)*EXP(-N41*0.5)</f>
        <v>59.194147314390598</v>
      </c>
      <c r="P825">
        <f t="shared" ref="P825" si="1491">0.5*(Q824+Q826)*EXP(-P41*0.5)</f>
        <v>64.866732246313617</v>
      </c>
      <c r="R825">
        <f t="shared" ref="R825" si="1492">0.5*(S824+S826)*EXP(-R41*0.5)</f>
        <v>71.711245261729545</v>
      </c>
      <c r="T825">
        <f t="shared" ref="T825" si="1493">0.5*(U824+U826)*EXP(-T41*0.5)</f>
        <v>78.261947592387671</v>
      </c>
      <c r="V825">
        <f t="shared" ref="V825" si="1494">0.5*(W824+W826)*EXP(-V41*0.5)</f>
        <v>87.004515254908213</v>
      </c>
      <c r="X825">
        <f t="shared" ref="X825" si="1495">0.5*(Y824+Y826)*EXP(-X41*0.5)</f>
        <v>92.884606563870889</v>
      </c>
      <c r="Z825">
        <f t="shared" ref="Z825" si="1496">0.5*(AA824+AA826)*EXP(-Z41*0.5)</f>
        <v>98.146040253835963</v>
      </c>
    </row>
    <row r="826" spans="1:27" x14ac:dyDescent="0.25">
      <c r="C826">
        <f>0.5*(D825+D827)*EXP(-C42*0.5)</f>
        <v>49.218520563755959</v>
      </c>
      <c r="E826">
        <f t="shared" ref="E826" si="1497">0.5*(F825+F827)*EXP(-E42*0.5)</f>
        <v>51.213087561989703</v>
      </c>
      <c r="G826">
        <f t="shared" ref="G826" si="1498">0.5*(H825+H827)*EXP(-G42*0.5)</f>
        <v>53.544289491501459</v>
      </c>
      <c r="I826">
        <f t="shared" ref="I826" si="1499">0.5*(J825+J827)*EXP(-I42*0.5)</f>
        <v>56.65022915853352</v>
      </c>
      <c r="K826">
        <f t="shared" ref="K826" si="1500">0.5*(L825+L827)*EXP(-K42*0.5)</f>
        <v>60.379817011006857</v>
      </c>
      <c r="M826">
        <f t="shared" ref="M826" si="1501">0.5*(N825+N827)*EXP(-M42*0.5)</f>
        <v>64.973576681358722</v>
      </c>
      <c r="O826">
        <f t="shared" ref="O826" si="1502">0.5*(P825+P827)*EXP(-O42*0.5)</f>
        <v>69.661446481827213</v>
      </c>
      <c r="Q826">
        <f t="shared" ref="Q826" si="1503">0.5*(R825+R827)*EXP(-Q42*0.5)</f>
        <v>73.89714439819528</v>
      </c>
      <c r="S826">
        <f t="shared" ref="S826" si="1504">0.5*(T825+T827)*EXP(-S42*0.5)</f>
        <v>79.714958539278513</v>
      </c>
      <c r="U826">
        <f t="shared" ref="U826" si="1505">0.5*(V825+V827)*EXP(-U42*0.5)</f>
        <v>86.293869790691517</v>
      </c>
      <c r="W826">
        <f t="shared" ref="W826" si="1506">0.5*(X825+X827)*EXP(-W42*0.5)</f>
        <v>92.232959259077134</v>
      </c>
      <c r="Y826">
        <f t="shared" ref="Y826" si="1507">0.5*(Z825+Z827)*EXP(-Y42*0.5)</f>
        <v>96.802854964489782</v>
      </c>
      <c r="AA826">
        <v>100</v>
      </c>
    </row>
    <row r="827" spans="1:27" x14ac:dyDescent="0.25">
      <c r="B827">
        <f>0.5*(C826+C828)*EXP(-B43*0.5)</f>
        <v>57.037160108543254</v>
      </c>
      <c r="D827">
        <f t="shared" ref="D827" si="1508">0.5*(E826+E828)*EXP(-D43*0.5)</f>
        <v>58.907602552605404</v>
      </c>
      <c r="F827">
        <f t="shared" ref="F827" si="1509">0.5*(G826+G828)*EXP(-F43*0.5)</f>
        <v>61.143961160180083</v>
      </c>
      <c r="H827">
        <f t="shared" ref="H827" si="1510">0.5*(I826+I828)*EXP(-H43*0.5)</f>
        <v>63.807366285661566</v>
      </c>
      <c r="J827">
        <f t="shared" ref="J827" si="1511">0.5*(K826+K828)*EXP(-J43*0.5)</f>
        <v>66.920933621940335</v>
      </c>
      <c r="L827">
        <f t="shared" ref="L827" si="1512">0.5*(M826+M828)*EXP(-L43*0.5)</f>
        <v>70.419299254733204</v>
      </c>
      <c r="N827">
        <f t="shared" ref="N827" si="1513">0.5*(O826+O828)*EXP(-N43*0.5)</f>
        <v>74.454876436661777</v>
      </c>
      <c r="P827">
        <f t="shared" ref="P827" si="1514">0.5*(Q826+Q828)*EXP(-P43*0.5)</f>
        <v>77.806207583958354</v>
      </c>
      <c r="R827">
        <f t="shared" ref="R827" si="1515">0.5*(S826+S828)*EXP(-R43*0.5)</f>
        <v>82.401653897805303</v>
      </c>
      <c r="T827">
        <f t="shared" ref="T827" si="1516">0.5*(U826+U828)*EXP(-T43*0.5)</f>
        <v>86.666312499147111</v>
      </c>
      <c r="V827">
        <f t="shared" ref="V827" si="1517">0.5*(W826+W828)*EXP(-V43*0.5)</f>
        <v>92.105202345710097</v>
      </c>
      <c r="X827">
        <f t="shared" ref="X827" si="1518">0.5*(Y826+Y828)*EXP(-X43*0.5)</f>
        <v>95.68635410551785</v>
      </c>
      <c r="Z827">
        <f t="shared" ref="Z827" si="1519">0.5*(AA826+AA828)*EXP(-Z43*0.5)</f>
        <v>98.86572588690359</v>
      </c>
    </row>
    <row r="828" spans="1:27" x14ac:dyDescent="0.25">
      <c r="A828">
        <f>0.5*(B827+B829)*EXP(-A44*0.5)</f>
        <v>64.274963908850111</v>
      </c>
      <c r="C828">
        <f t="shared" ref="C828" si="1520">0.5*(D827+D829)*EXP(-C44*0.5)</f>
        <v>65.855157773854614</v>
      </c>
      <c r="E828">
        <f t="shared" ref="E828" si="1521">0.5*(F827+F829)*EXP(-E44*0.5)</f>
        <v>68.009490551160937</v>
      </c>
      <c r="G828">
        <f t="shared" ref="G828" si="1522">0.5*(H827+H829)*EXP(-G44*0.5)</f>
        <v>70.281939324624631</v>
      </c>
      <c r="I828">
        <f t="shared" ref="I828" si="1523">0.5*(J827+J829)*EXP(-I44*0.5)</f>
        <v>72.917264266709807</v>
      </c>
      <c r="K828">
        <f t="shared" ref="K828" si="1524">0.5*(L827+L829)*EXP(-K44*0.5)</f>
        <v>75.730733444427187</v>
      </c>
      <c r="M828">
        <f t="shared" ref="M828" si="1525">0.5*(N827+N829)*EXP(-M44*0.5)</f>
        <v>78.684956934752762</v>
      </c>
      <c r="O828">
        <f t="shared" ref="O828" si="1526">0.5*(P827+P829)*EXP(-O44*0.5)</f>
        <v>81.397663343244204</v>
      </c>
      <c r="Q828">
        <f t="shared" ref="Q828" si="1527">0.5*(R827+R829)*EXP(-Q44*0.5)</f>
        <v>83.982283975023009</v>
      </c>
      <c r="S828">
        <f t="shared" ref="S828" si="1528">0.5*(T827+T829)*EXP(-S44*0.5)</f>
        <v>87.626519502560114</v>
      </c>
      <c r="U828">
        <f t="shared" ref="U828" si="1529">0.5*(V827+V829)*EXP(-U44*0.5)</f>
        <v>91.729107680864985</v>
      </c>
      <c r="W828">
        <f t="shared" ref="W828" si="1530">0.5*(X827+X829)*EXP(-W44*0.5)</f>
        <v>95.292282989796476</v>
      </c>
      <c r="Y828">
        <f t="shared" ref="Y828" si="1531">0.5*(Z827+Z829)*EXP(-Y44*0.5)</f>
        <v>98.067631962985502</v>
      </c>
      <c r="AA828">
        <v>100</v>
      </c>
    </row>
    <row r="829" spans="1:27" x14ac:dyDescent="0.25">
      <c r="B829">
        <f>0.5*(C828+C830)*EXP(-B45*0.5)</f>
        <v>71.937683195897748</v>
      </c>
      <c r="D829">
        <f t="shared" ref="D829" si="1532">0.5*(E828+E830)*EXP(-D45*0.5)</f>
        <v>73.765454054894505</v>
      </c>
      <c r="F829">
        <f t="shared" ref="F829" si="1533">0.5*(G828+G830)*EXP(-F45*0.5)</f>
        <v>75.763380266872915</v>
      </c>
      <c r="H829">
        <f t="shared" ref="H829" si="1534">0.5*(I828+I830)*EXP(-H45*0.5)</f>
        <v>77.90798556149339</v>
      </c>
      <c r="J829">
        <f t="shared" ref="J829" si="1535">0.5*(K828+K830)*EXP(-J45*0.5)</f>
        <v>80.13045835363225</v>
      </c>
      <c r="L829">
        <f t="shared" ref="L829" si="1536">0.5*(M828+M830)*EXP(-L45*0.5)</f>
        <v>82.424235901716443</v>
      </c>
      <c r="N829">
        <f t="shared" ref="N829" si="1537">0.5*(O828+O830)*EXP(-N45*0.5)</f>
        <v>84.687907326641948</v>
      </c>
      <c r="P829">
        <f t="shared" ref="P829" si="1538">0.5*(Q828+Q830)*EXP(-P45*0.5)</f>
        <v>86.539144991823363</v>
      </c>
      <c r="R829">
        <f t="shared" ref="R829" si="1539">0.5*(S828+S830)*EXP(-R45*0.5)</f>
        <v>89.379778661243421</v>
      </c>
      <c r="T829">
        <f t="shared" ref="T829" si="1540">0.5*(U828+U830)*EXP(-T45*0.5)</f>
        <v>91.994405070123833</v>
      </c>
      <c r="V829">
        <f t="shared" ref="V829" si="1541">0.5*(W828+W830)*EXP(-V45*0.5)</f>
        <v>95.259044857326572</v>
      </c>
      <c r="X829">
        <f t="shared" ref="X829" si="1542">0.5*(Y828+Y830)*EXP(-X45*0.5)</f>
        <v>97.400215009052488</v>
      </c>
      <c r="Z829">
        <f t="shared" ref="Z829" si="1543">0.5*(AA828+AA830)*EXP(-Z45*0.5)</f>
        <v>99.307022942850452</v>
      </c>
    </row>
    <row r="830" spans="1:27" x14ac:dyDescent="0.25">
      <c r="C830">
        <f t="shared" ref="C830" si="1544">0.5*(D829+D831)*EXP(-C46*0.5)</f>
        <v>78.695357471144021</v>
      </c>
      <c r="E830">
        <f t="shared" ref="E830" si="1545">0.5*(F829+F831)*EXP(-E46*0.5)</f>
        <v>80.464725064915569</v>
      </c>
      <c r="G830">
        <f t="shared" ref="G830" si="1546">0.5*(H829+H831)*EXP(-G46*0.5)</f>
        <v>82.181688506891305</v>
      </c>
      <c r="I830">
        <f t="shared" ref="I830" si="1547">0.5*(J829+J831)*EXP(-I46*0.5)</f>
        <v>83.989574906094049</v>
      </c>
      <c r="K830">
        <f t="shared" ref="K830" si="1548">0.5*(L829+L831)*EXP(-K46*0.5)</f>
        <v>85.772494804094791</v>
      </c>
      <c r="M830">
        <f t="shared" ref="M830" si="1549">0.5*(N829+N831)*EXP(-M46*0.5)</f>
        <v>87.472056361998767</v>
      </c>
      <c r="O830">
        <f t="shared" ref="O830" si="1550">0.5*(P829+P831)*EXP(-O46*0.5)</f>
        <v>88.948979887672564</v>
      </c>
      <c r="Q830">
        <f t="shared" ref="Q830" si="1551">0.5*(R829+R831)*EXP(-Q46*0.5)</f>
        <v>90.444823883866832</v>
      </c>
      <c r="S830">
        <f t="shared" ref="S830" si="1552">0.5*(T829+T831)*EXP(-S46*0.5)</f>
        <v>92.605493657599709</v>
      </c>
      <c r="U830">
        <f t="shared" ref="U830" si="1553">0.5*(V829+V831)*EXP(-U46*0.5)</f>
        <v>95.071142626380578</v>
      </c>
      <c r="W830">
        <f t="shared" ref="W830" si="1554">0.5*(X829+X831)*EXP(-W46*0.5)</f>
        <v>97.165500649672367</v>
      </c>
      <c r="Y830">
        <f t="shared" ref="Y830" si="1555">0.5*(Z829+Z831)*EXP(-Y46*0.5)</f>
        <v>98.834875669418992</v>
      </c>
      <c r="AA830">
        <v>100</v>
      </c>
    </row>
    <row r="831" spans="1:27" x14ac:dyDescent="0.25">
      <c r="D831">
        <f t="shared" ref="D831" si="1556">0.5*(E830+E832)*EXP(-D47*0.5)</f>
        <v>84.241705625020444</v>
      </c>
      <c r="F831">
        <f t="shared" ref="F831" si="1557">0.5*(G830+G832)*EXP(-F47*0.5)</f>
        <v>85.683456777992703</v>
      </c>
      <c r="H831">
        <f t="shared" ref="H831" si="1558">0.5*(I830+I832)*EXP(-H47*0.5)</f>
        <v>87.117903080111077</v>
      </c>
      <c r="J831">
        <f t="shared" ref="J831" si="1559">0.5*(K830+K832)*EXP(-J47*0.5)</f>
        <v>88.491170576878787</v>
      </c>
      <c r="L831">
        <f t="shared" ref="L831" si="1560">0.5*(M830+M832)*EXP(-L47*0.5)</f>
        <v>89.838111793619021</v>
      </c>
      <c r="N831">
        <f t="shared" ref="N831" si="1561">0.5*(O830+O832)*EXP(-N47*0.5)</f>
        <v>91.03958048615749</v>
      </c>
      <c r="P831">
        <f t="shared" ref="P831" si="1562">0.5*(Q830+Q832)*EXP(-P47*0.5)</f>
        <v>92.032424858091431</v>
      </c>
      <c r="R831">
        <f t="shared" ref="R831" si="1563">0.5*(S830+S832)*EXP(-R47*0.5)</f>
        <v>93.704669431645115</v>
      </c>
      <c r="T831">
        <f t="shared" ref="T831" si="1564">0.5*(U830+U832)*EXP(-T47*0.5)</f>
        <v>95.253505384191484</v>
      </c>
      <c r="V831">
        <f t="shared" ref="V831" si="1565">0.5*(W830+W832)*EXP(-V47*0.5)</f>
        <v>97.172111623853922</v>
      </c>
      <c r="X831">
        <f t="shared" ref="X831" si="1566">0.5*(Y830+Y832)*EXP(-X47*0.5)</f>
        <v>98.438565824265552</v>
      </c>
      <c r="Z831">
        <f t="shared" ref="Z831" si="1567">0.5*(AA830+AA832)*EXP(-Z47*0.5)</f>
        <v>99.576997384793827</v>
      </c>
    </row>
    <row r="832" spans="1:27" x14ac:dyDescent="0.25">
      <c r="E832">
        <f t="shared" ref="E832" si="1568">0.5*(F831+F833)*EXP(-E48*0.5)</f>
        <v>88.5960432975467</v>
      </c>
      <c r="G832">
        <f t="shared" ref="G832" si="1569">0.5*(H831+H833)*EXP(-G48*0.5)</f>
        <v>89.706833176334172</v>
      </c>
      <c r="I832">
        <f t="shared" ref="I832" si="1570">0.5*(J831+J833)*EXP(-I48*0.5)</f>
        <v>90.805571361519142</v>
      </c>
      <c r="K832">
        <f t="shared" ref="K832" si="1571">0.5*(L831+L833)*EXP(-K48*0.5)</f>
        <v>91.838807310465967</v>
      </c>
      <c r="M832">
        <f t="shared" ref="M832" si="1572">0.5*(N831+N833)*EXP(-M48*0.5)</f>
        <v>92.771632395142262</v>
      </c>
      <c r="O832">
        <f t="shared" ref="O832" si="1573">0.5*(P831+P833)*EXP(-O48*0.5)</f>
        <v>93.545693934609773</v>
      </c>
      <c r="Q832">
        <f t="shared" ref="Q832" si="1574">0.5*(R831+R833)*EXP(-Q48*0.5)</f>
        <v>94.388551612677873</v>
      </c>
      <c r="S832">
        <f t="shared" ref="S832" si="1575">0.5*(T831+T833)*EXP(-S48*0.5)</f>
        <v>95.630828691293544</v>
      </c>
      <c r="U832">
        <f t="shared" ref="U832" si="1576">0.5*(V831+V833)*EXP(-U48*0.5)</f>
        <v>97.083836066131568</v>
      </c>
      <c r="W832">
        <f t="shared" ref="W832" si="1577">0.5*(X831+X833)*EXP(-W48*0.5)</f>
        <v>98.300077306978338</v>
      </c>
      <c r="Y832">
        <f t="shared" ref="Y832" si="1578">0.5*(Z831+Z833)*EXP(-Y48*0.5)</f>
        <v>99.298447738312376</v>
      </c>
      <c r="AA832">
        <v>100</v>
      </c>
    </row>
    <row r="833" spans="6:27" x14ac:dyDescent="0.25">
      <c r="F833">
        <f t="shared" ref="F833" si="1579">0.5*(G832+G834)*EXP(-F49*0.5)</f>
        <v>91.789288330543727</v>
      </c>
      <c r="H833">
        <f t="shared" ref="H833" si="1580">0.5*(I832+I834)*EXP(-H49*0.5)</f>
        <v>92.651975045629669</v>
      </c>
      <c r="J833">
        <f t="shared" ref="J833" si="1581">0.5*(K832+K834)*EXP(-J49*0.5)</f>
        <v>93.438756044330916</v>
      </c>
      <c r="L833">
        <f t="shared" ref="L833" si="1582">0.5*(M832+M834)*EXP(-L49*0.5)</f>
        <v>94.191972841473671</v>
      </c>
      <c r="N833">
        <f t="shared" ref="N833" si="1583">0.5*(O832+O834)*EXP(-N49*0.5)</f>
        <v>94.834595664160275</v>
      </c>
      <c r="P833">
        <f t="shared" ref="P833" si="1584">0.5*(Q832+Q834)*EXP(-P49*0.5)</f>
        <v>95.341175897835456</v>
      </c>
      <c r="R833">
        <f t="shared" ref="R833" si="1585">0.5*(S832+S834)*EXP(-R49*0.5)</f>
        <v>96.298389113153689</v>
      </c>
      <c r="T833">
        <f t="shared" ref="T833" si="1586">0.5*(U832+U834)*EXP(-T49*0.5)</f>
        <v>97.200036688544103</v>
      </c>
      <c r="V833">
        <f t="shared" ref="V833" si="1587">0.5*(W832+W834)*EXP(-V49*0.5)</f>
        <v>98.319661697895611</v>
      </c>
      <c r="X833">
        <f t="shared" ref="X833" si="1588">0.5*(Y832+Y834)*EXP(-X49*0.5)</f>
        <v>99.064087605654194</v>
      </c>
      <c r="Z833">
        <f t="shared" ref="Z833" si="1589">0.5*(AA832+AA834)*EXP(-Z49*0.5)</f>
        <v>99.74193005299044</v>
      </c>
    </row>
    <row r="834" spans="6:27" x14ac:dyDescent="0.25">
      <c r="G834">
        <f t="shared" ref="G834" si="1590">0.5*(H833+H835)*EXP(-G50*0.5)</f>
        <v>94.147047379571219</v>
      </c>
      <c r="I834">
        <f t="shared" ref="I834" si="1591">0.5*(J833+J835)*EXP(-I50*0.5)</f>
        <v>94.771430382040791</v>
      </c>
      <c r="K834">
        <f t="shared" ref="K834" si="1592">0.5*(L833+L835)*EXP(-K50*0.5)</f>
        <v>95.343516983092755</v>
      </c>
      <c r="M834">
        <f t="shared" ref="M834" si="1593">0.5*(N833+N835)*EXP(-M50*0.5)</f>
        <v>95.849374127888836</v>
      </c>
      <c r="O834">
        <f t="shared" ref="O834" si="1594">0.5*(P833+P835)*EXP(-O50*0.5)</f>
        <v>96.296002929095479</v>
      </c>
      <c r="Q834">
        <f t="shared" ref="Q834" si="1595">0.5*(R833+R835)*EXP(-Q50*0.5)</f>
        <v>96.720711110843212</v>
      </c>
      <c r="S834">
        <f t="shared" ref="S834" si="1596">0.5*(T833+T835)*EXP(-S50*0.5)</f>
        <v>97.421640215091116</v>
      </c>
      <c r="U834">
        <f t="shared" ref="U834" si="1597">0.5*(V833+V835)*EXP(-U50*0.5)</f>
        <v>98.269584573262335</v>
      </c>
      <c r="W834">
        <f t="shared" ref="W834" si="1598">0.5*(X833+X835)*EXP(-W50*0.5)</f>
        <v>98.982863146639886</v>
      </c>
      <c r="Y834">
        <f t="shared" ref="Y834" si="1599">0.5*(Z833+Z835)*EXP(-Y50*0.5)</f>
        <v>99.577890891710098</v>
      </c>
      <c r="AA834">
        <v>100</v>
      </c>
    </row>
    <row r="835" spans="6:27" x14ac:dyDescent="0.25">
      <c r="H835">
        <f t="shared" ref="H835" si="1600">0.5*(I834+I836)*EXP(-H51*0.5)</f>
        <v>95.826357365013308</v>
      </c>
      <c r="J835">
        <f t="shared" ref="J835" si="1601">0.5*(K834+K836)*EXP(-J51*0.5)</f>
        <v>96.256880313888601</v>
      </c>
      <c r="L835">
        <f t="shared" ref="L835" si="1602">0.5*(M834+M836)*EXP(-L51*0.5)</f>
        <v>96.663080786641601</v>
      </c>
      <c r="N835">
        <f t="shared" ref="N835" si="1603">0.5*(O834+O836)*EXP(-N51*0.5)</f>
        <v>97.000432775550436</v>
      </c>
      <c r="P835">
        <f t="shared" ref="P835" si="1604">0.5*(Q834+Q836)*EXP(-P51*0.5)</f>
        <v>97.25869360244991</v>
      </c>
      <c r="R835">
        <f t="shared" ref="R835" si="1605">0.5*(S834+S836)*EXP(-R51*0.5)</f>
        <v>97.816292170007188</v>
      </c>
      <c r="T835">
        <f t="shared" ref="T835" si="1606">0.5*(U834+U836)*EXP(-T51*0.5)</f>
        <v>98.33195074282159</v>
      </c>
      <c r="V835">
        <f t="shared" ref="V835" si="1607">0.5*(W834+W836)*EXP(-V51*0.5)</f>
        <v>98.979625656985576</v>
      </c>
      <c r="X835">
        <f t="shared" ref="X835" si="1608">0.5*(Y834+Y836)*EXP(-X51*0.5)</f>
        <v>99.439659224601527</v>
      </c>
      <c r="Z835">
        <f t="shared" ref="Z835" si="1609">0.5*(AA834+AA836)*EXP(-Z51*0.5)</f>
        <v>99.842604744073626</v>
      </c>
    </row>
    <row r="836" spans="6:27" x14ac:dyDescent="0.25">
      <c r="I836">
        <f t="shared" ref="I836" si="1610">0.5*(J835+J837)*EXP(-I52*0.5)</f>
        <v>97.010972468257933</v>
      </c>
      <c r="K836">
        <f t="shared" ref="K836" si="1611">0.5*(L835+L837)*EXP(-K52*0.5)</f>
        <v>97.314436554044306</v>
      </c>
      <c r="M836">
        <f t="shared" ref="M836" si="1612">0.5*(N835+N837)*EXP(-M52*0.5)</f>
        <v>97.573776223379326</v>
      </c>
      <c r="O836">
        <f t="shared" ref="O836" si="1613">0.5*(P835+P837)*EXP(-O52*0.5)</f>
        <v>97.775213722452477</v>
      </c>
      <c r="Q836">
        <f t="shared" ref="Q836" si="1614">0.5*(R835+R837)*EXP(-Q52*0.5)</f>
        <v>98.030300778797169</v>
      </c>
      <c r="S836">
        <f t="shared" ref="S836" si="1615">0.5*(T835+T837)*EXP(-S52*0.5)</f>
        <v>98.459247837200664</v>
      </c>
      <c r="U836">
        <f t="shared" ref="U836" si="1616">0.5*(V835+V837)*EXP(-U52*0.5)</f>
        <v>98.941516764133766</v>
      </c>
      <c r="W836">
        <f t="shared" ref="W836" si="1617">0.5*(X835+X837)*EXP(-W52*0.5)</f>
        <v>99.344137791217804</v>
      </c>
      <c r="Y836">
        <f t="shared" ref="Y836" si="1618">0.5*(Z835+Z837)*EXP(-Y52*0.5)</f>
        <v>99.746119202834109</v>
      </c>
      <c r="AA836">
        <v>100</v>
      </c>
    </row>
    <row r="837" spans="6:27" x14ac:dyDescent="0.25">
      <c r="J837">
        <f t="shared" ref="J837" si="1619">0.5*(K836+K838)*EXP(-J53*0.5)</f>
        <v>97.836893883177339</v>
      </c>
      <c r="L837">
        <f t="shared" ref="L837" si="1620">0.5*(M836+M838)*EXP(-L53*0.5)</f>
        <v>98.044558705562594</v>
      </c>
      <c r="N837">
        <f t="shared" ref="N837" si="1621">0.5*(O836+O838)*EXP(-N53*0.5)</f>
        <v>98.202437277297236</v>
      </c>
      <c r="P837">
        <f t="shared" ref="P837" si="1622">0.5*(Q836+Q838)*EXP(-P53*0.5)</f>
        <v>98.338622153044597</v>
      </c>
      <c r="R837">
        <f t="shared" ref="R837" si="1623">0.5*(S836+S838)*EXP(-R53*0.5)</f>
        <v>98.610268464294151</v>
      </c>
      <c r="T837">
        <f t="shared" ref="T837" si="1624">0.5*(U836+U838)*EXP(-T53*0.5)</f>
        <v>98.98157524449428</v>
      </c>
      <c r="V837">
        <f t="shared" ref="V837" si="1625">0.5*(W836+W838)*EXP(-V53*0.5)</f>
        <v>99.337722227581452</v>
      </c>
      <c r="X837">
        <f t="shared" ref="X837" si="1626">0.5*(Y836+Y838)*EXP(-X53*0.5)</f>
        <v>99.568426613321151</v>
      </c>
      <c r="Z837">
        <f t="shared" ref="Z837" si="1627">0.5*(AA836+AA838)*EXP(-Z53*0.5)</f>
        <v>99.904024504196727</v>
      </c>
    </row>
    <row r="838" spans="6:27" x14ac:dyDescent="0.25">
      <c r="K838">
        <f t="shared" ref="K838" si="1628">0.5*(L837+L839)*EXP(-K54*0.5)</f>
        <v>98.426668258218257</v>
      </c>
      <c r="M838">
        <f t="shared" ref="M838" si="1629">0.5*(N837+N839)*EXP(-M54*0.5)</f>
        <v>98.554569353082314</v>
      </c>
      <c r="O838">
        <f t="shared" ref="O838" si="1630">0.5*(P837+P839)*EXP(-O54*0.5)</f>
        <v>98.658063022318018</v>
      </c>
      <c r="Q838">
        <f t="shared" ref="Q838" si="1631">0.5*(R837+R839)*EXP(-Q54*0.5)</f>
        <v>98.77369476586658</v>
      </c>
      <c r="S838">
        <f t="shared" ref="S838" si="1632">0.5*(T837+T839)*EXP(-S54*0.5)</f>
        <v>98.895604313696452</v>
      </c>
      <c r="U838">
        <f t="shared" ref="U838" si="1633">0.5*(V837+V839)*EXP(-U54*0.5)</f>
        <v>99.334292609609278</v>
      </c>
      <c r="W838">
        <f t="shared" ref="W838" si="1634">0.5*(X837+X839)*EXP(-W54*0.5)</f>
        <v>99.540849307846514</v>
      </c>
      <c r="Y838">
        <f t="shared" ref="Y838" si="1635">0.5*(Z837+Z839)*EXP(-Y54*0.5)</f>
        <v>99.654474059681618</v>
      </c>
      <c r="AA838">
        <v>100</v>
      </c>
    </row>
    <row r="839" spans="6:27" x14ac:dyDescent="0.25">
      <c r="L839">
        <f t="shared" ref="L839" si="1636">0.5*(M838+M840)*EXP(-L55*0.5)</f>
        <v>98.845373254713152</v>
      </c>
      <c r="N839">
        <f t="shared" ref="N839" si="1637">0.5*(O838+O840)*EXP(-N55*0.5)</f>
        <v>98.928983196585051</v>
      </c>
      <c r="P839">
        <f t="shared" ref="P839" si="1638">0.5*(Q838+Q840)*EXP(-P55*0.5)</f>
        <v>98.996371468294726</v>
      </c>
      <c r="R839">
        <f t="shared" ref="R839" si="1639">0.5*(S838+S840)*EXP(-R55*0.5)</f>
        <v>99.134947799622182</v>
      </c>
      <c r="T839">
        <f t="shared" ref="T839" si="1640">0.5*(U838+U840)*EXP(-T55*0.5)</f>
        <v>99.379656434620813</v>
      </c>
      <c r="V839">
        <f t="shared" ref="V839" si="1641">0.5*(W838+W840)*EXP(-V55*0.5)</f>
        <v>99.578402773376979</v>
      </c>
      <c r="X839">
        <f t="shared" ref="X839" si="1642">0.5*(Y838+Y840)*EXP(-X55*0.5)</f>
        <v>99.703100173347863</v>
      </c>
      <c r="Z839">
        <f t="shared" ref="Z839" si="1643">0.5*(AA838+AA840)*EXP(-Z55*0.5)</f>
        <v>99.941483684572532</v>
      </c>
    </row>
    <row r="840" spans="6:27" x14ac:dyDescent="0.25">
      <c r="M840">
        <f t="shared" ref="M840" si="1644">0.5*(N839+N841)*EXP(-M56*0.5)</f>
        <v>99.151949050665223</v>
      </c>
      <c r="O840">
        <f t="shared" ref="O840" si="1645">0.5*(P839+P841)*EXP(-O56*0.5)</f>
        <v>99.2113141134042</v>
      </c>
      <c r="Q840">
        <f t="shared" ref="Q840" si="1646">0.5*(R839+R841)*EXP(-Q56*0.5)</f>
        <v>99.287524601927075</v>
      </c>
      <c r="S840">
        <f t="shared" ref="S840" si="1647">0.5*(T839+T841)*EXP(-S56*0.5)</f>
        <v>99.446754914901334</v>
      </c>
      <c r="U840">
        <f t="shared" ref="U840" si="1648">0.5*(V839+V841)*EXP(-U56*0.5)</f>
        <v>99.603254722341632</v>
      </c>
      <c r="W840">
        <f t="shared" ref="W840" si="1649">0.5*(X839+X841)*EXP(-W56*0.5)</f>
        <v>99.735231512482599</v>
      </c>
      <c r="Y840">
        <f t="shared" ref="Y840" si="1650">0.5*(Z839+Z841)*EXP(-Y56*0.5)</f>
        <v>99.908184617811145</v>
      </c>
      <c r="AA840">
        <v>100</v>
      </c>
    </row>
    <row r="841" spans="6:27" x14ac:dyDescent="0.25">
      <c r="N841">
        <f t="shared" ref="N841" si="1651">0.5*(O840+O842)*EXP(-N57*0.5)</f>
        <v>99.38385493505902</v>
      </c>
      <c r="P841">
        <f t="shared" ref="P841" si="1652">0.5*(Q840+Q842)*EXP(-P57*0.5)</f>
        <v>99.433823541633771</v>
      </c>
      <c r="R841">
        <f t="shared" ref="R841" si="1653">0.5*(S840+S842)*EXP(-R57*0.5)</f>
        <v>99.546809357235446</v>
      </c>
      <c r="T841">
        <f t="shared" ref="T841" si="1654">0.5*(U840+U842)*EXP(-T57*0.5)</f>
        <v>99.642477304349896</v>
      </c>
      <c r="V841">
        <f t="shared" ref="V841" si="1655">0.5*(W840+W842)*EXP(-V57*0.5)</f>
        <v>99.769044769814556</v>
      </c>
      <c r="X841">
        <f t="shared" ref="X841" si="1656">0.5*(Y840+Y842)*EXP(-X57*0.5)</f>
        <v>99.880050181944242</v>
      </c>
      <c r="Z841">
        <f t="shared" ref="Z841" si="1657">0.5*(AA840+AA842)*EXP(-Z57*0.5)</f>
        <v>99.964325178779106</v>
      </c>
    </row>
    <row r="842" spans="6:27" x14ac:dyDescent="0.25">
      <c r="O842">
        <f t="shared" ref="O842" si="1658">0.5*(P841+P843)*EXP(-O58*0.5)</f>
        <v>99.560967463259431</v>
      </c>
      <c r="Q842">
        <f t="shared" ref="Q842" si="1659">0.5*(R841+R843)*EXP(-Q58*0.5)</f>
        <v>99.617035516642076</v>
      </c>
      <c r="S842">
        <f t="shared" ref="S842" si="1660">0.5*(T841+T843)*EXP(-S58*0.5)</f>
        <v>99.685915736768038</v>
      </c>
      <c r="U842">
        <f t="shared" ref="U842" si="1661">0.5*(V841+V843)*EXP(-U58*0.5)</f>
        <v>99.783179888256257</v>
      </c>
      <c r="W842">
        <f t="shared" ref="W842" si="1662">0.5*(X841+X843)*EXP(-W58*0.5)</f>
        <v>99.870723809063719</v>
      </c>
      <c r="Y842">
        <f t="shared" ref="Y842" si="1663">0.5*(Z841+Z843)*EXP(-Y58*0.5)</f>
        <v>99.944780756842107</v>
      </c>
      <c r="AA842">
        <v>100</v>
      </c>
    </row>
    <row r="843" spans="6:27" x14ac:dyDescent="0.25">
      <c r="P843">
        <f t="shared" ref="P843" si="1664">0.5*(Q842+Q844)*EXP(-P59*0.5)</f>
        <v>99.691139784909495</v>
      </c>
      <c r="R843">
        <f t="shared" ref="R843" si="1665">0.5*(S842+S844)*EXP(-R59*0.5)</f>
        <v>99.7447183923463</v>
      </c>
      <c r="T843">
        <f t="shared" ref="T843" si="1666">0.5*(U842+U844)*EXP(-T59*0.5)</f>
        <v>99.802574258503356</v>
      </c>
      <c r="V843">
        <f t="shared" ref="V843" si="1667">0.5*(W842+W844)*EXP(-V59*0.5)</f>
        <v>99.877496063724394</v>
      </c>
      <c r="X843">
        <f t="shared" ref="X843" si="1668">0.5*(Y842+Y844)*EXP(-X59*0.5)</f>
        <v>99.928257411937551</v>
      </c>
      <c r="Z843">
        <f t="shared" ref="Z843" si="1669">0.5*(AA842+AA844)*EXP(-Z59*0.5)</f>
        <v>99.978251602232376</v>
      </c>
    </row>
    <row r="844" spans="6:27" x14ac:dyDescent="0.25">
      <c r="Q844">
        <f t="shared" ref="Q844" si="1670">0.5*(R843+R845)*EXP(-Q60*0.5)</f>
        <v>99.785106926494663</v>
      </c>
      <c r="S844">
        <f t="shared" ref="S844" si="1671">0.5*(T843+T845)*EXP(-S60*0.5)</f>
        <v>99.824522248100479</v>
      </c>
      <c r="U844">
        <f t="shared" ref="U844" si="1672">0.5*(V843+V845)*EXP(-U60*0.5)</f>
        <v>99.879692545160353</v>
      </c>
      <c r="W844">
        <f t="shared" ref="W844" si="1673">0.5*(X843+X845)*EXP(-W60*0.5)</f>
        <v>99.922853161270737</v>
      </c>
      <c r="Y844">
        <f t="shared" ref="Y844" si="1674">0.5*(Z843+Z845)*EXP(-Y60*0.5)</f>
        <v>99.966786089804387</v>
      </c>
      <c r="AA844">
        <v>100</v>
      </c>
    </row>
    <row r="845" spans="6:27" x14ac:dyDescent="0.25">
      <c r="R845">
        <f t="shared" ref="R845" si="1675">0.5*(S844+S846)*EXP(-R61*0.5)</f>
        <v>99.856384402942155</v>
      </c>
      <c r="T845">
        <f t="shared" ref="T845" si="1676">0.5*(U844+U846)*EXP(-T61*0.5)</f>
        <v>99.888111631810261</v>
      </c>
      <c r="V845">
        <f t="shared" ref="V845" si="1677">0.5*(W844+W846)*EXP(-V61*0.5)</f>
        <v>99.927469608244763</v>
      </c>
      <c r="X845">
        <f t="shared" ref="X845" si="1678">0.5*(Y844+Y846)*EXP(-X61*0.5)</f>
        <v>99.957087184080677</v>
      </c>
      <c r="Z845">
        <f t="shared" ref="Z845" si="1679">0.5*(AA844+AA846)*EXP(-Z61*0.5)</f>
        <v>99.98674191128984</v>
      </c>
    </row>
    <row r="846" spans="6:27" x14ac:dyDescent="0.25">
      <c r="S846">
        <f t="shared" ref="S846" si="1680">0.5*(T845+T847)*EXP(-S62*0.5)</f>
        <v>99.899530949465074</v>
      </c>
      <c r="U846">
        <f t="shared" ref="U846" si="1681">0.5*(V845+V847)*EXP(-U62*0.5)</f>
        <v>99.929342255856696</v>
      </c>
      <c r="W846">
        <f t="shared" ref="W846" si="1682">0.5*(X845+X847)*EXP(-W62*0.5)</f>
        <v>99.954011166739235</v>
      </c>
      <c r="Y846">
        <f t="shared" ref="Y846" si="1683">0.5*(Z845+Z847)*EXP(-Y62*0.5)</f>
        <v>99.980019017962064</v>
      </c>
      <c r="AA846">
        <v>100</v>
      </c>
    </row>
    <row r="847" spans="6:27" x14ac:dyDescent="0.25">
      <c r="T847">
        <f t="shared" ref="T847" si="1684">0.5*(U846+U848)*EXP(-T63*0.5)</f>
        <v>99.934618068813862</v>
      </c>
      <c r="V847">
        <f t="shared" ref="V847" si="1685">0.5*(W846+W848)*EXP(-V63*0.5)</f>
        <v>99.957114929813116</v>
      </c>
      <c r="X847">
        <f t="shared" ref="X847" si="1686">0.5*(Y846+Y848)*EXP(-X63*0.5)</f>
        <v>99.974430616333379</v>
      </c>
      <c r="Z847">
        <f t="shared" ref="Z847" si="1687">0.5*(AA846+AA848)*EXP(-Z63*0.5)</f>
        <v>99.991917841281548</v>
      </c>
    </row>
    <row r="848" spans="6:27" x14ac:dyDescent="0.25">
      <c r="U848">
        <f t="shared" ref="U848" si="1688">0.5*(V847+V849)*EXP(-U64*0.5)</f>
        <v>99.958537885675582</v>
      </c>
      <c r="W848">
        <f t="shared" ref="W848" si="1689">0.5*(X847+X849)*EXP(-W64*0.5)</f>
        <v>99.972674913530014</v>
      </c>
      <c r="Y848">
        <f t="shared" ref="Y848" si="1690">0.5*(Z847+Z849)*EXP(-Y64*0.5)</f>
        <v>99.988181505838</v>
      </c>
      <c r="AA848">
        <v>100</v>
      </c>
    </row>
    <row r="849" spans="22:27" x14ac:dyDescent="0.25">
      <c r="V849">
        <f t="shared" ref="V849" si="1691">0.5*(W848+W850)*EXP(-V65*0.5)</f>
        <v>99.974675183010021</v>
      </c>
      <c r="X849">
        <f t="shared" ref="X849" si="1692">0.5*(Y848+Y850)*EXP(-X65*0.5)</f>
        <v>99.984844565363005</v>
      </c>
      <c r="Z849">
        <f t="shared" ref="Z849" si="1693">0.5*(AA848+AA850)*EXP(-Z65*0.5)</f>
        <v>99.995480833757043</v>
      </c>
    </row>
    <row r="850" spans="22:27" x14ac:dyDescent="0.25">
      <c r="W850">
        <f t="shared" ref="W850" si="1694">0.5*(X849+X851)*EXP(-W66*0.5)</f>
        <v>99.983751368790308</v>
      </c>
      <c r="Y850">
        <f t="shared" ref="Y850" si="1695">0.5*(Z849+Z851)*EXP(-Y66*0.5)</f>
        <v>99.992968821346437</v>
      </c>
      <c r="AA850">
        <v>100</v>
      </c>
    </row>
    <row r="851" spans="22:27" x14ac:dyDescent="0.25">
      <c r="X851">
        <f t="shared" ref="X851" si="1696">0.5*(Y850+Y852)*EXP(-X67*0.5)</f>
        <v>99.990910941682571</v>
      </c>
      <c r="Z851">
        <f t="shared" ref="Z851" si="1697">0.5*(AA850+AA852)*EXP(-Z67*0.5)</f>
        <v>99.996996630045416</v>
      </c>
    </row>
    <row r="852" spans="22:27" x14ac:dyDescent="0.25">
      <c r="Y852">
        <f t="shared" ref="Y852" si="1698">0.5*(Z851+Z853)*EXP(-Y68*0.5)</f>
        <v>99.995645160296306</v>
      </c>
      <c r="AA852">
        <v>100</v>
      </c>
    </row>
    <row r="853" spans="22:27" x14ac:dyDescent="0.25">
      <c r="Z853">
        <f t="shared" ref="Z853" si="1699">0.5*(AA852+AA854)*EXP(-Z69*0.5)</f>
        <v>99.99816917602071</v>
      </c>
    </row>
    <row r="854" spans="22:27" x14ac:dyDescent="0.25">
      <c r="AA854">
        <v>100</v>
      </c>
    </row>
  </sheetData>
  <phoneticPr fontId="1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codeName="Sheet2" enableFormatConditionsCalculation="0"/>
  <dimension ref="A1:Z128"/>
  <sheetViews>
    <sheetView tabSelected="1" topLeftCell="A109" zoomScaleNormal="60" zoomScalePageLayoutView="60" workbookViewId="0">
      <selection activeCell="B93" sqref="B93"/>
    </sheetView>
  </sheetViews>
  <sheetFormatPr defaultColWidth="8.85546875" defaultRowHeight="15" x14ac:dyDescent="0.25"/>
  <cols>
    <col min="6" max="6" width="12.140625" customWidth="1"/>
    <col min="12" max="12" width="13.140625" customWidth="1"/>
  </cols>
  <sheetData>
    <row r="1" spans="1:4" x14ac:dyDescent="0.25">
      <c r="A1" t="s">
        <v>44</v>
      </c>
    </row>
    <row r="2" spans="1:4" x14ac:dyDescent="0.25">
      <c r="A2" t="s">
        <v>45</v>
      </c>
    </row>
    <row r="4" spans="1:4" x14ac:dyDescent="0.25">
      <c r="A4" t="s">
        <v>46</v>
      </c>
    </row>
    <row r="5" spans="1:4" x14ac:dyDescent="0.25">
      <c r="A5" t="s">
        <v>47</v>
      </c>
      <c r="D5">
        <v>0.02</v>
      </c>
    </row>
    <row r="19" spans="13:26" x14ac:dyDescent="0.25">
      <c r="Z19">
        <f>100*(1+$D$5)</f>
        <v>102</v>
      </c>
    </row>
    <row r="20" spans="13:26" x14ac:dyDescent="0.25">
      <c r="Y20">
        <f>MIN(100,0.5*(Z19+Z21)*EXP(-bdt!Y20*0.5))+100*$D$5</f>
        <v>2.4120598808761566</v>
      </c>
    </row>
    <row r="21" spans="13:26" x14ac:dyDescent="0.25">
      <c r="X21">
        <f>MIN(100,0.5*(Y20+Y22)*EXP(-bdt!X21*0.5))+100*$D$5</f>
        <v>2.0135640598467064</v>
      </c>
      <c r="Z21">
        <f>100*(1+$D$5)</f>
        <v>102</v>
      </c>
    </row>
    <row r="22" spans="13:26" x14ac:dyDescent="0.25">
      <c r="W22">
        <f>MIN(100,0.5*(X21+X23)*EXP(-bdt!W22*0.5))+100*$D$5</f>
        <v>2.035621314693977</v>
      </c>
      <c r="Y22">
        <f>MIN(100,0.5*(Z21+Z23)*EXP(-bdt!Y22*0.5))+100*$D$5</f>
        <v>5.8919056198995747</v>
      </c>
    </row>
    <row r="23" spans="13:26" x14ac:dyDescent="0.25">
      <c r="V23">
        <f>MIN(100,0.5*(W22+W24)*EXP(-bdt!V23*0.5))+100*$D$5</f>
        <v>2.0132675849738555</v>
      </c>
      <c r="X23">
        <f>MIN(100,0.5*(Y22+Y24)*EXP(-bdt!X23*0.5))+100*$D$5</f>
        <v>2.3804592781574199</v>
      </c>
      <c r="Z23">
        <f t="shared" ref="Z23" si="0">100*(1+$D$5)</f>
        <v>102</v>
      </c>
    </row>
    <row r="24" spans="13:26" x14ac:dyDescent="0.25">
      <c r="U24">
        <f>MIN(100,0.5*(V23+V25)*EXP(-bdt!U24*0.5))+100*$D$5</f>
        <v>2.0050488309085996</v>
      </c>
      <c r="W24">
        <f>MIN(100,0.5*(X23+X25)*EXP(-bdt!W24*0.5))+100*$D$5</f>
        <v>2.3392792925861459</v>
      </c>
      <c r="Y24">
        <f>MIN(100,0.5*(Z23+Z25)*EXP(-bdt!Y24*0.5))+100*$D$5</f>
        <v>16.724938908245768</v>
      </c>
    </row>
    <row r="25" spans="13:26" x14ac:dyDescent="0.25">
      <c r="T25">
        <f>MIN(100,0.5*(U24+U26)*EXP(-bdt!T25*0.5))+100*$D$5</f>
        <v>2.0266952731243291</v>
      </c>
      <c r="V25">
        <f>MIN(100,0.5*(W24+W26)*EXP(-bdt!V25*0.5))+100*$D$5</f>
        <v>2.1867757283172669</v>
      </c>
      <c r="X25">
        <f>MIN(100,0.5*(Y24+Y26)*EXP(-bdt!X25*0.5))+100*$D$5</f>
        <v>5.4248317289313075</v>
      </c>
      <c r="Z25">
        <f t="shared" ref="Z25" si="1">100*(1+$D$5)</f>
        <v>102</v>
      </c>
    </row>
    <row r="26" spans="13:26" x14ac:dyDescent="0.25">
      <c r="S26">
        <f>MIN(100,0.5*(T25+T27)*EXP(-bdt!S26*0.5))+100*$D$5</f>
        <v>2.0926250820636207</v>
      </c>
      <c r="U26">
        <f>MIN(100,0.5*(V25+V27)*EXP(-bdt!U26*0.5))+100*$D$5</f>
        <v>2.0941734232438458</v>
      </c>
      <c r="W26">
        <f>MIN(100,0.5*(X25+X27)*EXP(-bdt!W26*0.5))+100*$D$5</f>
        <v>4.4468891170511746</v>
      </c>
      <c r="Y26">
        <f>MIN(100,0.5*(Z25+Z27)*EXP(-bdt!Y26*0.5))+100*$D$5</f>
        <v>34.396928489992888</v>
      </c>
    </row>
    <row r="27" spans="13:26" x14ac:dyDescent="0.25">
      <c r="R27">
        <f>MIN(100,0.5*(S26+S28)*EXP(-bdt!R27*0.5))+100*$D$5</f>
        <v>2.2477774894328229</v>
      </c>
      <c r="T27">
        <f>MIN(100,0.5*(U26+U28)*EXP(-bdt!T27*0.5))+100*$D$5</f>
        <v>2.2145664673851866</v>
      </c>
      <c r="V27">
        <f>MIN(100,0.5*(W26+W28)*EXP(-bdt!V27*0.5))+100*$D$5</f>
        <v>3.6007411660988735</v>
      </c>
      <c r="X27">
        <f>MIN(100,0.5*(Y26+Y28)*EXP(-bdt!X27*0.5))+100*$D$5</f>
        <v>15.384623382170243</v>
      </c>
      <c r="Z27">
        <f t="shared" ref="Z27" si="2">100*(1+$D$5)</f>
        <v>102</v>
      </c>
    </row>
    <row r="28" spans="13:26" x14ac:dyDescent="0.25">
      <c r="Q28">
        <f>MIN(100,0.5*(R27+R29)*EXP(-bdt!Q28*0.5))+100*$D$5</f>
        <v>2.100446784110519</v>
      </c>
      <c r="S28">
        <f>MIN(100,0.5*(T27+T29)*EXP(-bdt!S28*0.5))+100*$D$5</f>
        <v>2.4656664250413085</v>
      </c>
      <c r="U28">
        <f>MIN(100,0.5*(V27+V29)*EXP(-bdt!U28*0.5))+100*$D$5</f>
        <v>2.9565210854271706</v>
      </c>
      <c r="W28">
        <f>MIN(100,0.5*(X27+X29)*EXP(-bdt!W28*0.5))+100*$D$5</f>
        <v>12.171234599810504</v>
      </c>
      <c r="Y28">
        <f>MIN(100,0.5*(Z27+Z29)*EXP(-bdt!Y28*0.5))+100*$D$5</f>
        <v>53.693408737707202</v>
      </c>
    </row>
    <row r="29" spans="13:26" x14ac:dyDescent="0.25">
      <c r="P29">
        <f>MIN(100,0.5*(Q28+Q30)*EXP(-bdt!P29*0.5))+100*$D$5</f>
        <v>2.7875998206797448</v>
      </c>
      <c r="R29">
        <f>MIN(100,0.5*(S28+S30)*EXP(-bdt!R29*0.5))+100*$D$5</f>
        <v>2.9976043765642402</v>
      </c>
      <c r="T29">
        <f>MIN(100,0.5*(U28+U30)*EXP(-bdt!T29*0.5))+100*$D$5</f>
        <v>3.298529474310155</v>
      </c>
      <c r="V29">
        <f>MIN(100,0.5*(W28+W30)*EXP(-bdt!V29*0.5))+100*$D$5</f>
        <v>9.783698421423523</v>
      </c>
      <c r="X29">
        <f>MIN(100,0.5*(Y28+Y30)*EXP(-bdt!X29*0.5))+100*$D$5</f>
        <v>32.579117979267899</v>
      </c>
      <c r="Z29">
        <f t="shared" ref="Z29" si="3">100*(1+$D$5)</f>
        <v>102</v>
      </c>
    </row>
    <row r="30" spans="13:26" x14ac:dyDescent="0.25">
      <c r="O30">
        <f>0.5*(P29+P31)*EXP(-bdt!O30*0.5)+100*$D$5</f>
        <v>2.0097548302103085</v>
      </c>
      <c r="Q30">
        <f>MIN(100,0.5*(R29+R31)*EXP(-bdt!Q30*0.5))+100*$D$5</f>
        <v>2.7616208140230638</v>
      </c>
      <c r="S30">
        <f>MIN(100,0.5*(T29+T31)*EXP(-bdt!S30*0.5))+100*$D$5</f>
        <v>4.0994723923956062</v>
      </c>
      <c r="U30">
        <f>MIN(100,0.5*(V29+V31)*EXP(-bdt!U30*0.5))+100*$D$5</f>
        <v>7.5786498686016843</v>
      </c>
      <c r="W30">
        <f>MIN(100,0.5*(X29+X31)*EXP(-bdt!W30*0.5))+100*$D$5</f>
        <v>27.497303551338543</v>
      </c>
      <c r="Y30">
        <f>MIN(100,0.5*(Z29+Z31)*EXP(-bdt!Y30*0.5))+100*$D$5</f>
        <v>70.185098720336825</v>
      </c>
    </row>
    <row r="31" spans="13:26" x14ac:dyDescent="0.25">
      <c r="N31">
        <f>0.5*(O30+O32)*EXP(-bdt!N31*0.5)+100*$D$5</f>
        <v>2.0664599260851575</v>
      </c>
      <c r="P31">
        <f>MIN(100,0.5*(Q30+Q32)*EXP(-bdt!P31*0.5))+100*$D$5</f>
        <v>4.3664068407180929</v>
      </c>
      <c r="R31">
        <f>MIN(100,0.5*(S30+S32)*EXP(-bdt!R31*0.5))+100*$D$5</f>
        <v>5.7768378054141873</v>
      </c>
      <c r="T31">
        <f>MIN(100,0.5*(U30+U32)*EXP(-bdt!T31*0.5))+100*$D$5</f>
        <v>8.2301270167087175</v>
      </c>
      <c r="V31">
        <f>MIN(100,0.5*(W30+W32)*EXP(-bdt!V31*0.5))+100*$D$5</f>
        <v>23.900304396392912</v>
      </c>
      <c r="X31">
        <f>MIN(100,0.5*(Y30+Y32)*EXP(-bdt!X31*0.5))+100*$D$5</f>
        <v>52.195951033676003</v>
      </c>
      <c r="Z31">
        <f t="shared" ref="Z31" si="4">100*(1+$D$5)</f>
        <v>102</v>
      </c>
    </row>
    <row r="32" spans="13:26" x14ac:dyDescent="0.25">
      <c r="M32">
        <f>0.5*(N31+N33)*EXP(-bdt!M32*0.5)+100*$D$5</f>
        <v>2.1666688404959249</v>
      </c>
      <c r="O32">
        <f>0.5*(P31+P33)*EXP(-bdt!O32*0.5)+100*$D$5</f>
        <v>2.6695672159234869</v>
      </c>
      <c r="Q32">
        <f>MIN(100,0.5*(R31+R33)*EXP(-bdt!Q32*0.5))+100*$D$5</f>
        <v>5.9048550096160923</v>
      </c>
      <c r="S32">
        <f>MIN(100,0.5*(T31+T33)*EXP(-bdt!S32*0.5))+100*$D$5</f>
        <v>10.21537497514808</v>
      </c>
      <c r="U32">
        <f>MIN(100,0.5*(V31+V33)*EXP(-bdt!U32*0.5))+100*$D$5</f>
        <v>20.023554923290259</v>
      </c>
      <c r="W32">
        <f>MIN(100,0.5*(X31+X33)*EXP(-bdt!W32*0.5))+100*$D$5</f>
        <v>47.011400132860508</v>
      </c>
      <c r="Y32">
        <f>MIN(100,0.5*(Z31+Z33)*EXP(-bdt!Y32*0.5))+100*$D$5</f>
        <v>82.343456261766903</v>
      </c>
    </row>
    <row r="33" spans="1:26" x14ac:dyDescent="0.25">
      <c r="L33">
        <f>0.5*(M32+M34)*EXP(-bdt!L33*0.5)+100*$D$5</f>
        <v>2.4607605566743871</v>
      </c>
      <c r="N33">
        <f>0.5*(O32+O34)*EXP(-bdt!N33*0.5)+100*$D$5</f>
        <v>3.3272309518097911</v>
      </c>
      <c r="P33">
        <f>MIN(100,0.5*(Q32+Q34)*EXP(-bdt!P33*0.5))+100*$D$5</f>
        <v>9.7434658414779562</v>
      </c>
      <c r="R33">
        <f>MIN(100,0.5*(S32+S34)*EXP(-bdt!R33*0.5))+100*$D$5</f>
        <v>14.212328662620457</v>
      </c>
      <c r="T33">
        <f>MIN(100,0.5*(U32+U34)*EXP(-bdt!T33*0.5))+100*$D$5</f>
        <v>20.930124890651907</v>
      </c>
      <c r="V33">
        <f>MIN(100,0.5*(W32+W34)*EXP(-bdt!V33*0.5))+100*$D$5</f>
        <v>43.617680026400002</v>
      </c>
      <c r="X33">
        <f>MIN(100,0.5*(Y32+Y34)*EXP(-bdt!X33*0.5))+100*$D$5</f>
        <v>69.468106646784562</v>
      </c>
      <c r="Z33">
        <f t="shared" ref="Z33" si="5">100*(1+$D$5)</f>
        <v>102</v>
      </c>
    </row>
    <row r="34" spans="1:26" x14ac:dyDescent="0.25">
      <c r="K34">
        <f>0.5*(L33+L35)*EXP(-bdt!K34*0.5)+100*$D$5</f>
        <v>4.8939225016048145</v>
      </c>
      <c r="M34">
        <f>0.5*(N33+N35)*EXP(-bdt!M34*0.5)+100*$D$5</f>
        <v>4.4067350248310522</v>
      </c>
      <c r="O34">
        <f>0.5*(P33+P35)*EXP(-bdt!O34*0.5)+100*$D$5</f>
        <v>8.3152453279993193</v>
      </c>
      <c r="Q34">
        <f>MIN(100,0.5*(R33+R35)*EXP(-bdt!Q34*0.5))+100*$D$5</f>
        <v>15.522947672449758</v>
      </c>
      <c r="S34">
        <f>MIN(100,0.5*(T33+T35)*EXP(-bdt!S34*0.5))+100*$D$5</f>
        <v>24.207008333929029</v>
      </c>
      <c r="U34">
        <f>MIN(100,0.5*(V33+V35)*EXP(-bdt!U34*0.5))+100*$D$5</f>
        <v>39.456328279482243</v>
      </c>
      <c r="W34">
        <f>MIN(100,0.5*(X33+X35)*EXP(-bdt!W34*0.5))+100*$D$5</f>
        <v>65.540793706698594</v>
      </c>
      <c r="Y34">
        <f>MIN(100,0.5*(Z33+Z35)*EXP(-bdt!Y34*0.5))+100*$D$5</f>
        <v>90.548012087909854</v>
      </c>
    </row>
    <row r="35" spans="1:26" x14ac:dyDescent="0.25">
      <c r="J35">
        <f>0.5*(K34+K36)*EXP(-bdt!J35*0.5)+100*$D$5</f>
        <v>8.3401743323026256</v>
      </c>
      <c r="L35">
        <f>0.5*(M34+M36)*EXP(-bdt!L35*0.5)+100*$D$5</f>
        <v>6.5609800904030404</v>
      </c>
      <c r="N35">
        <f>0.5*(O34+O36)*EXP(-bdt!N35*0.5)+100*$D$5</f>
        <v>11.282266945058959</v>
      </c>
      <c r="P35">
        <f>MIN(100,0.5*(Q34+Q36)*EXP(-bdt!P35*0.5))+100*$D$5</f>
        <v>22.563410886807237</v>
      </c>
      <c r="R35">
        <f>MIN(100,0.5*(S34+S36)*EXP(-bdt!R35*0.5))+100*$D$5</f>
        <v>30.577005263239393</v>
      </c>
      <c r="T35">
        <f>MIN(100,0.5*(U34+U36)*EXP(-bdt!T35*0.5))+100*$D$5</f>
        <v>40.590512464038433</v>
      </c>
      <c r="V35">
        <f>MIN(100,0.5*(W34+W36)*EXP(-bdt!V35*0.5))+100*$D$5</f>
        <v>63.375242244755277</v>
      </c>
      <c r="X35">
        <f>MIN(100,0.5*(Y34+Y36)*EXP(-bdt!X35*0.5))+100*$D$5</f>
        <v>82.446206378476134</v>
      </c>
      <c r="Z35">
        <f t="shared" ref="Z35" si="6">100*(1+$D$5)</f>
        <v>102</v>
      </c>
    </row>
    <row r="36" spans="1:26" x14ac:dyDescent="0.25">
      <c r="I36">
        <f>0.5*(J35+J37)*EXP(-bdt!I36*0.5)+100*$D$5</f>
        <v>14.572931451125527</v>
      </c>
      <c r="K36">
        <f>0.5*(L35+L37)*EXP(-bdt!K36*0.5)+100*$D$5</f>
        <v>13.599120439426631</v>
      </c>
      <c r="M36">
        <f>0.5*(N35+N37)*EXP(-bdt!M36*0.5)+100*$D$5</f>
        <v>15.564136930555179</v>
      </c>
      <c r="O36">
        <f>0.5*(P35+P37)*EXP(-bdt!O36*0.5)+100*$D$5</f>
        <v>24.39503173783724</v>
      </c>
      <c r="Q36">
        <f>MIN(100,0.5*(R35+R37)*EXP(-bdt!Q36*0.5))+100*$D$5</f>
        <v>33.433638568172185</v>
      </c>
      <c r="S36">
        <f>MIN(100,0.5*(T35+T37)*EXP(-bdt!S36*0.5))+100*$D$5</f>
        <v>44.504057838632505</v>
      </c>
      <c r="U36">
        <f>MIN(100,0.5*(V35+V37)*EXP(-bdt!U36*0.5))+100*$D$5</f>
        <v>60.299615404503768</v>
      </c>
      <c r="W36">
        <f>MIN(100,0.5*(X35+X37)*EXP(-bdt!W36*0.5))+100*$D$5</f>
        <v>80.15719762304775</v>
      </c>
      <c r="Y36">
        <f>MIN(100,0.5*(Z35+Z37)*EXP(-bdt!Y36*0.5))+100*$D$5</f>
        <v>95.799975602731692</v>
      </c>
    </row>
    <row r="37" spans="1:26" x14ac:dyDescent="0.25">
      <c r="H37">
        <f>0.5*(I36+I38)*EXP(-bdt!H37*0.5)+100*$D$5</f>
        <v>22.373006805044003</v>
      </c>
      <c r="J37">
        <f>0.5*(K36+K38)*EXP(-bdt!J37*0.5)+100*$D$5</f>
        <v>21.962546002608143</v>
      </c>
      <c r="L37">
        <f>0.5*(M36+M38)*EXP(-bdt!L37*0.5)+100*$D$5</f>
        <v>21.884719796357661</v>
      </c>
      <c r="N37">
        <f>0.5*(O36+O38)*EXP(-bdt!N37*0.5)+100*$D$5</f>
        <v>30.957857363413648</v>
      </c>
      <c r="P37">
        <f>MIN(100,0.5*(Q36+Q38)*EXP(-bdt!P37*0.5))+100*$D$5</f>
        <v>42.577086823988921</v>
      </c>
      <c r="R37">
        <f>MIN(100,0.5*(S36+S38)*EXP(-bdt!R37*0.5))+100*$D$5</f>
        <v>51.838459838941198</v>
      </c>
      <c r="T37">
        <f>MIN(100,0.5*(U36+U38)*EXP(-bdt!T37*0.5))+100*$D$5</f>
        <v>61.6984325787218</v>
      </c>
      <c r="V37">
        <f>MIN(100,0.5*(W36+W38)*EXP(-bdt!V37*0.5))+100*$D$5</f>
        <v>79.388348225997447</v>
      </c>
      <c r="X37">
        <f>MIN(100,0.5*(Y36+Y38)*EXP(-bdt!X37*0.5))+100*$D$5</f>
        <v>91.307437007208677</v>
      </c>
      <c r="Z37">
        <f t="shared" ref="Z37" si="7">100*(1+$D$5)</f>
        <v>102</v>
      </c>
    </row>
    <row r="38" spans="1:26" x14ac:dyDescent="0.25">
      <c r="G38">
        <f>0.5*(H37+H39)*EXP(-bdt!G38*0.5)+100*$D$5</f>
        <v>33.335016556804732</v>
      </c>
      <c r="I38">
        <f>0.5*(J37+J39)*EXP(-bdt!I38*0.5)+100*$D$5</f>
        <v>33.08170516923056</v>
      </c>
      <c r="K38">
        <f>0.5*(L37+L39)*EXP(-bdt!K38*0.5)+100*$D$5</f>
        <v>33.883245183694612</v>
      </c>
      <c r="M38">
        <f>0.5*(N37+N39)*EXP(-bdt!M38*0.5)+100*$D$5</f>
        <v>38.794947732296805</v>
      </c>
      <c r="O38">
        <f>0.5*(P37+P39)*EXP(-bdt!O38*0.5)+100*$D$5</f>
        <v>48.199988293116519</v>
      </c>
      <c r="Q38">
        <f>MIN(100,0.5*(R37+R39)*EXP(-bdt!Q38*0.5))+100*$D$5</f>
        <v>55.677921446395231</v>
      </c>
      <c r="S38">
        <f>MIN(100,0.5*(T37+T39)*EXP(-bdt!S38*0.5))+100*$D$5</f>
        <v>65.528837562294427</v>
      </c>
      <c r="U38">
        <f>MIN(100,0.5*(V37+V39)*EXP(-bdt!U38*0.5))+100*$D$5</f>
        <v>77.828119129554906</v>
      </c>
      <c r="W38">
        <f>MIN(100,0.5*(X37+X39)*EXP(-bdt!W38*0.5))+100*$D$5</f>
        <v>90.443118791176431</v>
      </c>
      <c r="Y38">
        <f>MIN(100,0.5*(Z37+Z39)*EXP(-bdt!Y38*0.5))+100*$D$5</f>
        <v>99.058047027662951</v>
      </c>
    </row>
    <row r="39" spans="1:26" x14ac:dyDescent="0.25">
      <c r="F39">
        <f>0.5*(G38+G40)*EXP(-bdt!F39*0.5)+100*$D$5</f>
        <v>45.263360737703479</v>
      </c>
      <c r="H39">
        <f>0.5*(I38+I40)*EXP(-bdt!H39*0.5)+100*$D$5</f>
        <v>44.710777788825403</v>
      </c>
      <c r="J39">
        <f>0.5*(K38+K40)*EXP(-bdt!J39*0.5)+100*$D$5</f>
        <v>45.763201596256209</v>
      </c>
      <c r="L39">
        <f>0.5*(M38+M40)*EXP(-bdt!L39*0.5)+100*$D$5</f>
        <v>48.144351299963994</v>
      </c>
      <c r="N39">
        <f>0.5*(O38+O40)*EXP(-bdt!N39*0.5)+100*$D$5</f>
        <v>56.845870137612359</v>
      </c>
      <c r="P39">
        <f>MIN(100,0.5*(Q38+Q40)*EXP(-bdt!P39*0.5))+100*$D$5</f>
        <v>64.710130798506043</v>
      </c>
      <c r="R39">
        <f>MIN(100,0.5*(S38+S40)*EXP(-bdt!R39*0.5))+100*$D$5</f>
        <v>72.308775854623619</v>
      </c>
      <c r="T39">
        <f>MIN(100,0.5*(U38+U40)*EXP(-bdt!T39*0.5))+100*$D$5</f>
        <v>79.440802277506847</v>
      </c>
      <c r="V39">
        <f>MIN(100,0.5*(W38+W40)*EXP(-bdt!V39*0.5))+100*$D$5</f>
        <v>90.748063992787849</v>
      </c>
      <c r="X39">
        <f>MIN(100,0.5*(Y38+Y40)*EXP(-bdt!X39*0.5))+100*$D$5</f>
        <v>97.020373236931675</v>
      </c>
      <c r="Z39">
        <f t="shared" ref="Z39" si="8">100*(1+$D$5)</f>
        <v>102</v>
      </c>
    </row>
    <row r="40" spans="1:26" x14ac:dyDescent="0.25">
      <c r="E40">
        <f>0.5*(F39+F41)*EXP(-bdt!E40*0.5)+100*$D$5</f>
        <v>58.203823237908651</v>
      </c>
      <c r="G40">
        <f>0.5*(H39+H41)*EXP(-bdt!G40*0.5)+100*$D$5</f>
        <v>57.757225288830398</v>
      </c>
      <c r="I40">
        <f>0.5*(J39+J41)*EXP(-bdt!I40*0.5)+100*$D$5</f>
        <v>58.712736077417432</v>
      </c>
      <c r="K40">
        <f>0.5*(L39+L41)*EXP(-bdt!K40*0.5)+100*$D$5</f>
        <v>60.898835018665736</v>
      </c>
      <c r="M40">
        <f>0.5*(N39+N41)*EXP(-bdt!M40*0.5)+100*$D$5</f>
        <v>65.743904440503456</v>
      </c>
      <c r="O40">
        <f>0.5*(P39+P41)*EXP(-bdt!O40*0.5)+100*$D$5</f>
        <v>71.833538712010608</v>
      </c>
      <c r="Q40">
        <f>MIN(100,0.5*(R39+R41)*EXP(-bdt!Q40*0.5))+100*$D$5</f>
        <v>76.199826002972358</v>
      </c>
      <c r="S40">
        <f>MIN(100,0.5*(T39+T41)*EXP(-bdt!S40*0.5))+100*$D$5</f>
        <v>82.75041613131188</v>
      </c>
      <c r="U40">
        <f>MIN(100,0.5*(V39+V41)*EXP(-bdt!U40*0.5))+100*$D$5</f>
        <v>90.418188817904664</v>
      </c>
      <c r="W40">
        <f>MIN(100,0.5*(X39+X41)*EXP(-bdt!W40*0.5))+100*$D$5</f>
        <v>97.142450343618307</v>
      </c>
      <c r="Y40">
        <f>MIN(100,0.5*(Z39+Z41)*EXP(-bdt!Y40*0.5))+100*$D$5</f>
        <v>101.0418864465486</v>
      </c>
    </row>
    <row r="41" spans="1:26" x14ac:dyDescent="0.25">
      <c r="D41">
        <f>0.5*(E40+E42)*EXP(-bdt!D41*0.5)+100*$D$5</f>
        <v>70.62846803233802</v>
      </c>
      <c r="F41">
        <f>0.5*(G40+G42)*EXP(-bdt!F41*0.5)+100*$D$5</f>
        <v>70.194874736050892</v>
      </c>
      <c r="H41">
        <f>0.5*(I40+I42)*EXP(-bdt!H41*0.5)+100*$D$5</f>
        <v>70.609342972475631</v>
      </c>
      <c r="J41">
        <f>0.5*(K40+K42)*EXP(-bdt!J41*0.5)+100*$D$5</f>
        <v>72.217042921604161</v>
      </c>
      <c r="L41">
        <f>0.5*(M40+M42)*EXP(-bdt!L41*0.5)+100*$D$5</f>
        <v>74.833835734028995</v>
      </c>
      <c r="N41">
        <f>0.5*(O40+O42)*EXP(-bdt!N41*0.5)+100*$D$5</f>
        <v>79.944729456752981</v>
      </c>
      <c r="P41">
        <f>MIN(100,0.5*(Q40+Q42)*EXP(-bdt!P41*0.5))+100*$D$5</f>
        <v>83.530776767989664</v>
      </c>
      <c r="R41">
        <f>MIN(100,0.5*(S40+S42)*EXP(-bdt!R41*0.5))+100*$D$5</f>
        <v>88.129099159671412</v>
      </c>
      <c r="T41">
        <f>MIN(100,0.5*(U40+U42)*EXP(-bdt!T41*0.5))+100*$D$5</f>
        <v>91.994732138066666</v>
      </c>
      <c r="V41">
        <f>MIN(100,0.5*(W40+W42)*EXP(-bdt!V41*0.5))+100*$D$5</f>
        <v>98.022536223775973</v>
      </c>
      <c r="X41">
        <f>MIN(100,0.5*(Y40+Y42)*EXP(-bdt!X41*0.5))+100*$D$5</f>
        <v>100.46492363713254</v>
      </c>
      <c r="Z41">
        <f t="shared" ref="Z41" si="9">100*(1+$D$5)</f>
        <v>102</v>
      </c>
    </row>
    <row r="42" spans="1:26" x14ac:dyDescent="0.25">
      <c r="C42">
        <f>0.5*(D41+D43)*EXP(-bdt!C42*0.5)+100*$D$5</f>
        <v>82.477166733875791</v>
      </c>
      <c r="E42">
        <f>0.5*(F41+F43)*EXP(-bdt!E42*0.5)+100*$D$5</f>
        <v>82.123656804580833</v>
      </c>
      <c r="G42">
        <f>0.5*(H41+H43)*EXP(-bdt!G42*0.5)+100*$D$5</f>
        <v>82.134660453703361</v>
      </c>
      <c r="I42">
        <f>0.5*(J41+J43)*EXP(-bdt!I42*0.5)+100*$D$5</f>
        <v>83.117633448779415</v>
      </c>
      <c r="K42">
        <f>0.5*(L41+L43)*EXP(-bdt!K42*0.5)+100*$D$5</f>
        <v>84.768485878177046</v>
      </c>
      <c r="M42">
        <f>0.5*(N41+N43)*EXP(-bdt!M42*0.5)+100*$D$5</f>
        <v>87.347599448603603</v>
      </c>
      <c r="O42">
        <f>0.5*(P41+P43)*EXP(-bdt!O42*0.5)+100*$D$5</f>
        <v>89.759308354507823</v>
      </c>
      <c r="Q42">
        <f>MIN(100,0.5*(R41+R43)*EXP(-bdt!Q42*0.5))+100*$D$5</f>
        <v>91.315447834807273</v>
      </c>
      <c r="S42">
        <f>MIN(100,0.5*(T41+T43)*EXP(-bdt!S42*0.5))+100*$D$5</f>
        <v>94.483446061387653</v>
      </c>
      <c r="U42">
        <f>MIN(100,0.5*(V41+V43)*EXP(-bdt!U42*0.5))+100*$D$5</f>
        <v>98.234581555507845</v>
      </c>
      <c r="W42">
        <f>MIN(100,0.5*(X41+X43)*EXP(-bdt!W42*0.5))+100*$D$5</f>
        <v>101.02871039595442</v>
      </c>
      <c r="Y42">
        <f>MIN(100,0.5*(Z41+Z43)*EXP(-bdt!Y42*0.5))+100*$D$5</f>
        <v>102</v>
      </c>
    </row>
    <row r="43" spans="1:26" x14ac:dyDescent="0.25">
      <c r="B43">
        <f>0.5*(C42+C44)*EXP(-bdt!B43*0.5)+100*$D$5</f>
        <v>93.310320701163846</v>
      </c>
      <c r="D43">
        <f>0.5*(E42+E44)*EXP(-bdt!D43*0.5)+100*$D$5</f>
        <v>92.524743212320388</v>
      </c>
      <c r="F43">
        <f>0.5*(G42+G44)*EXP(-bdt!F43*0.5)+100*$D$5</f>
        <v>92.182189109610903</v>
      </c>
      <c r="H43">
        <f>0.5*(I42+I44)*EXP(-bdt!H43*0.5)+100*$D$5</f>
        <v>92.333897315790622</v>
      </c>
      <c r="J43">
        <f>0.5*(K42+K44)*EXP(-bdt!J43*0.5)+100*$D$5</f>
        <v>92.97934453983305</v>
      </c>
      <c r="L43">
        <f>0.5*(M42+M44)*EXP(-bdt!L43*0.5)+100*$D$5</f>
        <v>94.008740216214633</v>
      </c>
      <c r="N43">
        <f>0.5*(O42+O44)*EXP(-bdt!N43*0.5)+100*$D$5</f>
        <v>95.613150044659008</v>
      </c>
      <c r="P43">
        <f>MIN(100,0.5*(Q42+Q44)*EXP(-bdt!P43*0.5))+100*$D$5</f>
        <v>96.208220234826456</v>
      </c>
      <c r="R43">
        <f>MIN(100,0.5*(S42+S44)*EXP(-bdt!R43*0.5))+100*$D$5</f>
        <v>98.138756217572492</v>
      </c>
      <c r="T43">
        <f>MIN(100,0.5*(U42+U44)*EXP(-bdt!T43*0.5))+100*$D$5</f>
        <v>99.351210024823459</v>
      </c>
      <c r="V43">
        <f>MIN(100,0.5*(W42+W44)*EXP(-bdt!V43*0.5))+100*$D$5</f>
        <v>101.71991092372676</v>
      </c>
      <c r="X43">
        <f>MIN(100,0.5*(Y42+Y44)*EXP(-bdt!X43*0.5))+100*$D$5</f>
        <v>102</v>
      </c>
      <c r="Z43">
        <f t="shared" ref="Z43" si="10">100*(1+$D$5)</f>
        <v>102</v>
      </c>
    </row>
    <row r="44" spans="1:26" x14ac:dyDescent="0.25">
      <c r="A44">
        <f>0.5*(B43+B45)*EXP(-bdt!A44*0.5)</f>
        <v>101.17738334944545</v>
      </c>
      <c r="C44">
        <f>0.5*(D43+D45)*EXP(-bdt!C44*0.5)+100*$D$5</f>
        <v>101.74333886762852</v>
      </c>
      <c r="E44">
        <f>0.5*(F43+F45)*EXP(-bdt!E44*0.5)+100*$D$5</f>
        <v>101.08857389460299</v>
      </c>
      <c r="G44">
        <f>0.5*(H43+H45)*EXP(-bdt!G44*0.5)+100*$D$5</f>
        <v>100.49859018852482</v>
      </c>
      <c r="I44">
        <f>0.5*(J43+J45)*EXP(-bdt!I44*0.5)+100*$D$5</f>
        <v>100.31474008221272</v>
      </c>
      <c r="K44">
        <f>0.5*(L43+L45)*EXP(-bdt!K44*0.5)+100*$D$5</f>
        <v>100.27448939393361</v>
      </c>
      <c r="M44">
        <f>0.5*(N43+N45)*EXP(-bdt!M44*0.5)+100*$D$5</f>
        <v>100.35436349642961</v>
      </c>
      <c r="O44">
        <f>0.5*(P43+P45)*EXP(-bdt!O44*0.5)+100*$D$5</f>
        <v>100.16940807680317</v>
      </c>
      <c r="Q44">
        <f>MIN(100,0.5*(R43+R45)*EXP(-bdt!Q44*0.5))+100*$D$5</f>
        <v>99.845905745921641</v>
      </c>
      <c r="S44">
        <f>MIN(100,0.5*(T43+T45)*EXP(-bdt!S44*0.5))+100*$D$5</f>
        <v>100.75537259757948</v>
      </c>
      <c r="U44">
        <f>MIN(100,0.5*(V43+V45)*EXP(-bdt!U44*0.5))+100*$D$5</f>
        <v>101.73645412514907</v>
      </c>
      <c r="W44">
        <f>MIN(100,0.5*(X43+X45)*EXP(-bdt!W44*0.5))+100*$D$5</f>
        <v>102</v>
      </c>
      <c r="Y44">
        <f>MIN(100,0.5*(Z43+Z45)*EXP(-bdt!Y44*0.5))+100*$D$5</f>
        <v>102</v>
      </c>
    </row>
    <row r="45" spans="1:26" x14ac:dyDescent="0.25">
      <c r="B45">
        <f>0.5*(C44+C46)*EXP(-bdt!B45*0.5)+100*$D$5</f>
        <v>109.71331976254251</v>
      </c>
      <c r="D45">
        <f>0.5*(E44+E46)*EXP(-bdt!D45*0.5)+100*$D$5</f>
        <v>108.42008922204522</v>
      </c>
      <c r="F45">
        <f>0.5*(G44+G46)*EXP(-bdt!F45*0.5)+100*$D$5</f>
        <v>107.28928329471525</v>
      </c>
      <c r="H45">
        <f>0.5*(I44+I46)*EXP(-bdt!H45*0.5)+100*$D$5</f>
        <v>106.27704738995396</v>
      </c>
      <c r="J45">
        <f>0.5*(K44+K46)*EXP(-bdt!J45*0.5)+100*$D$5</f>
        <v>105.29083915665615</v>
      </c>
      <c r="L45">
        <f>0.5*(M44+M46)*EXP(-bdt!L45*0.5)+100*$D$5</f>
        <v>104.33372514081613</v>
      </c>
      <c r="N45">
        <f>0.5*(O44+O46)*EXP(-bdt!N45*0.5)+100*$D$5</f>
        <v>103.3116230230693</v>
      </c>
      <c r="P45">
        <f>MIN(100,0.5*(Q44+Q46)*EXP(-bdt!P45*0.5))+100*$D$5</f>
        <v>102</v>
      </c>
      <c r="R45">
        <f>MIN(100,0.5*(S44+S46)*EXP(-bdt!R45*0.5))+100*$D$5</f>
        <v>102</v>
      </c>
      <c r="T45">
        <f>MIN(100,0.5*(U44+U46)*EXP(-bdt!T45*0.5))+100*$D$5</f>
        <v>102</v>
      </c>
      <c r="V45">
        <f>MIN(100,0.5*(W44+W46)*EXP(-bdt!V45*0.5))+100*$D$5</f>
        <v>102</v>
      </c>
      <c r="X45">
        <f>MIN(100,0.5*(Y44+Y46)*EXP(-bdt!X45*0.5))+100*$D$5</f>
        <v>102</v>
      </c>
      <c r="Z45">
        <f t="shared" ref="Z45" si="11">100*(1+$D$5)</f>
        <v>102</v>
      </c>
    </row>
    <row r="46" spans="1:26" x14ac:dyDescent="0.25">
      <c r="C46">
        <f>0.5*(D45+D47)*EXP(-bdt!C46*0.5)+100*$D$5</f>
        <v>114.69421067125761</v>
      </c>
      <c r="E46">
        <f>0.5*(F45+F47)*EXP(-bdt!E46*0.5)+100*$D$5</f>
        <v>113.1124972636872</v>
      </c>
      <c r="G46">
        <f>0.5*(H45+H47)*EXP(-bdt!G46*0.5)+100*$D$5</f>
        <v>111.38195218362561</v>
      </c>
      <c r="I46">
        <f>0.5*(J45+J47)*EXP(-bdt!I46*0.5)+100*$D$5</f>
        <v>109.69944249879974</v>
      </c>
      <c r="K46">
        <f>0.5*(L45+L47)*EXP(-bdt!K46*0.5)+100*$D$5</f>
        <v>107.9085700199857</v>
      </c>
      <c r="M46">
        <f>0.5*(N45+N47)*EXP(-bdt!M46*0.5)+100*$D$5</f>
        <v>105.93770512770446</v>
      </c>
      <c r="O46">
        <f>0.5*(P45+P47)*EXP(-bdt!O46*0.5)+100*$D$5</f>
        <v>103.61523422981692</v>
      </c>
      <c r="Q46">
        <f>MIN(100,0.5*(R45+R47)*EXP(-bdt!Q46*0.5))+100*$D$5</f>
        <v>102</v>
      </c>
      <c r="S46">
        <f>MIN(100,0.5*(T45+T47)*EXP(-bdt!S46*0.5))+100*$D$5</f>
        <v>102</v>
      </c>
      <c r="U46">
        <f>MIN(100,0.5*(V45+V47)*EXP(-bdt!U46*0.5))+100*$D$5</f>
        <v>102</v>
      </c>
      <c r="W46">
        <f>MIN(100,0.5*(X45+X47)*EXP(-bdt!W46*0.5))+100*$D$5</f>
        <v>102</v>
      </c>
      <c r="Y46">
        <f>MIN(100,0.5*(Z45+Z47)*EXP(-bdt!Y46*0.5))+100*$D$5</f>
        <v>102</v>
      </c>
    </row>
    <row r="47" spans="1:26" x14ac:dyDescent="0.25">
      <c r="D47">
        <f>0.5*(E46+E48)*EXP(-bdt!D47*0.5)+100*$D$5</f>
        <v>117.85110024506729</v>
      </c>
      <c r="F47">
        <f>0.5*(G46+G48)*EXP(-bdt!F47*0.5)+100*$D$5</f>
        <v>115.65016284030037</v>
      </c>
      <c r="H47">
        <f>0.5*(I46+I48)*EXP(-bdt!H47*0.5)+100*$D$5</f>
        <v>113.36864483675978</v>
      </c>
      <c r="J47">
        <f>0.5*(K46+K48)*EXP(-bdt!J47*0.5)+100*$D$5</f>
        <v>110.93189383562442</v>
      </c>
      <c r="L47">
        <f>0.5*(M46+M48)*EXP(-bdt!L47*0.5)+100*$D$5</f>
        <v>108.36918101072074</v>
      </c>
      <c r="N47">
        <f>0.5*(O46+O48)*EXP(-bdt!N47*0.5)+100*$D$5</f>
        <v>105.4946240317778</v>
      </c>
      <c r="P47">
        <f>MIN(100,0.5*(Q46+Q48)*EXP(-bdt!P47*0.5))+100*$D$5</f>
        <v>102</v>
      </c>
      <c r="R47">
        <f>MIN(100,0.5*(S46+S48)*EXP(-bdt!R47*0.5))+100*$D$5</f>
        <v>102</v>
      </c>
      <c r="T47">
        <f>MIN(100,0.5*(U46+U48)*EXP(-bdt!T47*0.5))+100*$D$5</f>
        <v>102</v>
      </c>
      <c r="V47">
        <f>MIN(100,0.5*(W46+W48)*EXP(-bdt!V47*0.5))+100*$D$5</f>
        <v>102</v>
      </c>
      <c r="X47">
        <f>MIN(100,0.5*(Y46+Y48)*EXP(-bdt!X47*0.5))+100*$D$5</f>
        <v>102</v>
      </c>
      <c r="Z47">
        <f t="shared" ref="Z47" si="12">100*(1+$D$5)</f>
        <v>102</v>
      </c>
    </row>
    <row r="48" spans="1:26" x14ac:dyDescent="0.25">
      <c r="E48">
        <f>0.5*(F47+F49)*EXP(-bdt!E48*0.5)+100*$D$5</f>
        <v>119.38369779495795</v>
      </c>
      <c r="G48">
        <f>0.5*(H47+H49)*EXP(-bdt!G48*0.5)+100*$D$5</f>
        <v>116.610232238777</v>
      </c>
      <c r="I48">
        <f>0.5*(J47+J49)*EXP(-bdt!I48*0.5)+100*$D$5</f>
        <v>113.75288906118151</v>
      </c>
      <c r="K48">
        <f>0.5*(L47+L49)*EXP(-bdt!K48*0.5)+100*$D$5</f>
        <v>110.72946335467421</v>
      </c>
      <c r="M48">
        <f>0.5*(N47+N49)*EXP(-bdt!M48*0.5)+100*$D$5</f>
        <v>107.47254106593948</v>
      </c>
      <c r="O48">
        <f>0.5*(P47+P49)*EXP(-bdt!O48*0.5)+100*$D$5</f>
        <v>103.84637262491613</v>
      </c>
      <c r="Q48">
        <f>MIN(100,0.5*(R47+R49)*EXP(-bdt!Q48*0.5))+100*$D$5</f>
        <v>102</v>
      </c>
      <c r="S48">
        <f>MIN(100,0.5*(T47+T49)*EXP(-bdt!S48*0.5))+100*$D$5</f>
        <v>102</v>
      </c>
      <c r="U48">
        <f>MIN(100,0.5*(V47+V49)*EXP(-bdt!U48*0.5))+100*$D$5</f>
        <v>102</v>
      </c>
      <c r="W48">
        <f>MIN(100,0.5*(X47+X49)*EXP(-bdt!W48*0.5))+100*$D$5</f>
        <v>102</v>
      </c>
      <c r="Y48">
        <f>MIN(100,0.5*(Z47+Z49)*EXP(-bdt!Y48*0.5))+100*$D$5</f>
        <v>102</v>
      </c>
    </row>
    <row r="49" spans="6:26" x14ac:dyDescent="0.25">
      <c r="F49">
        <f>0.5*(G48+G50)*EXP(-bdt!F49*0.5)+100*$D$5</f>
        <v>119.48908608413677</v>
      </c>
      <c r="H49">
        <f>0.5*(I48+I50)*EXP(-bdt!H49*0.5)+100*$D$5</f>
        <v>116.30691890795669</v>
      </c>
      <c r="J49">
        <f>0.5*(K48+K50)*EXP(-bdt!J49*0.5)+100*$D$5</f>
        <v>112.9662062673471</v>
      </c>
      <c r="L49">
        <f>0.5*(M48+M50)*EXP(-bdt!L49*0.5)+100*$D$5</f>
        <v>109.50704070289265</v>
      </c>
      <c r="N49">
        <f>0.5*(O48+O50)*EXP(-bdt!N49*0.5)+100*$D$5</f>
        <v>105.82667290962002</v>
      </c>
      <c r="P49">
        <f>MIN(100,0.5*(Q48+Q50)*EXP(-bdt!P49*0.5))+100*$D$5</f>
        <v>102</v>
      </c>
      <c r="R49">
        <f>MIN(100,0.5*(S48+S50)*EXP(-bdt!R49*0.5))+100*$D$5</f>
        <v>102</v>
      </c>
      <c r="T49">
        <f>MIN(100,0.5*(U48+U50)*EXP(-bdt!T49*0.5))+100*$D$5</f>
        <v>102</v>
      </c>
      <c r="V49">
        <f>MIN(100,0.5*(W48+W50)*EXP(-bdt!V49*0.5))+100*$D$5</f>
        <v>102</v>
      </c>
      <c r="X49">
        <f>MIN(100,0.5*(Y48+Y50)*EXP(-bdt!X49*0.5))+100*$D$5</f>
        <v>102</v>
      </c>
      <c r="Z49">
        <f t="shared" ref="Z49" si="13">100*(1+$D$5)</f>
        <v>102</v>
      </c>
    </row>
    <row r="50" spans="6:26" x14ac:dyDescent="0.25">
      <c r="G50">
        <f>0.5*(H49+H51)*EXP(-bdt!G50*0.5)+100*$D$5</f>
        <v>118.72032530676505</v>
      </c>
      <c r="I50">
        <f>0.5*(J49+J51)*EXP(-bdt!I50*0.5)+100*$D$5</f>
        <v>115.19781899480867</v>
      </c>
      <c r="K50">
        <f>0.5*(L49+L51)*EXP(-bdt!K50*0.5)+100*$D$5</f>
        <v>111.56493873802899</v>
      </c>
      <c r="M50">
        <f>0.5*(N49+N51)*EXP(-bdt!M50*0.5)+100*$D$5</f>
        <v>107.81211232825549</v>
      </c>
      <c r="O50">
        <f>0.5*(P49+P51)*EXP(-bdt!O50*0.5)+100*$D$5</f>
        <v>103.99583545152076</v>
      </c>
      <c r="Q50">
        <f>MIN(100,0.5*(R49+R51)*EXP(-bdt!Q50*0.5))+100*$D$5</f>
        <v>102</v>
      </c>
      <c r="S50">
        <f>MIN(100,0.5*(T49+T51)*EXP(-bdt!S50*0.5))+100*$D$5</f>
        <v>102</v>
      </c>
      <c r="U50">
        <f>MIN(100,0.5*(V49+V51)*EXP(-bdt!U50*0.5))+100*$D$5</f>
        <v>102</v>
      </c>
      <c r="W50">
        <f>MIN(100,0.5*(X49+X51)*EXP(-bdt!W50*0.5))+100*$D$5</f>
        <v>102</v>
      </c>
      <c r="Y50">
        <f>MIN(100,0.5*(Z49+Z51)*EXP(-bdt!Y50*0.5))+100*$D$5</f>
        <v>102</v>
      </c>
    </row>
    <row r="51" spans="6:26" x14ac:dyDescent="0.25">
      <c r="H51">
        <f>0.5*(I50+I52)*EXP(-bdt!H51*0.5)+100*$D$5</f>
        <v>117.36214331502298</v>
      </c>
      <c r="J51">
        <f>0.5*(K50+K52)*EXP(-bdt!J51*0.5)+100*$D$5</f>
        <v>113.61191144197414</v>
      </c>
      <c r="L51">
        <f>0.5*(M50+M52)*EXP(-bdt!L51*0.5)+100*$D$5</f>
        <v>109.81591821749031</v>
      </c>
      <c r="N51">
        <f>0.5*(O50+O52)*EXP(-bdt!N51*0.5)+100*$D$5</f>
        <v>105.94799711246213</v>
      </c>
      <c r="P51">
        <f>MIN(100,0.5*(Q50+Q52)*EXP(-bdt!P51*0.5))+100*$D$5</f>
        <v>102</v>
      </c>
      <c r="R51">
        <f>MIN(100,0.5*(S50+S52)*EXP(-bdt!R51*0.5))+100*$D$5</f>
        <v>102</v>
      </c>
      <c r="T51">
        <f>MIN(100,0.5*(U50+U52)*EXP(-bdt!T51*0.5))+100*$D$5</f>
        <v>102</v>
      </c>
      <c r="V51">
        <f>MIN(100,0.5*(W50+W52)*EXP(-bdt!V51*0.5))+100*$D$5</f>
        <v>102</v>
      </c>
      <c r="X51">
        <f>MIN(100,0.5*(Y50+Y52)*EXP(-bdt!X51*0.5))+100*$D$5</f>
        <v>102</v>
      </c>
      <c r="Z51">
        <f t="shared" ref="Z51" si="14">100*(1+$D$5)</f>
        <v>102</v>
      </c>
    </row>
    <row r="52" spans="6:26" x14ac:dyDescent="0.25">
      <c r="I52">
        <f>0.5*(J51+J53)*EXP(-bdt!I52*0.5)+100*$D$5</f>
        <v>115.68259482120658</v>
      </c>
      <c r="K52">
        <f>0.5*(L51+L53)*EXP(-bdt!K52*0.5)+100*$D$5</f>
        <v>111.82607890828386</v>
      </c>
      <c r="M52">
        <f>0.5*(N51+N53)*EXP(-bdt!M52*0.5)+100*$D$5</f>
        <v>107.92790330058217</v>
      </c>
      <c r="O52">
        <f>0.5*(P51+P53)*EXP(-bdt!O52*0.5)+100*$D$5</f>
        <v>103.97554870494179</v>
      </c>
      <c r="Q52">
        <f>MIN(100,0.5*(R51+R53)*EXP(-bdt!Q52*0.5))+100*$D$5</f>
        <v>102</v>
      </c>
      <c r="S52">
        <f>MIN(100,0.5*(T51+T53)*EXP(-bdt!S52*0.5))+100*$D$5</f>
        <v>102</v>
      </c>
      <c r="U52">
        <f>MIN(100,0.5*(V51+V53)*EXP(-bdt!U52*0.5))+100*$D$5</f>
        <v>102</v>
      </c>
      <c r="W52">
        <f>MIN(100,0.5*(X51+X53)*EXP(-bdt!W52*0.5))+100*$D$5</f>
        <v>102</v>
      </c>
      <c r="Y52">
        <f>MIN(100,0.5*(Z51+Z53)*EXP(-bdt!Y52*0.5))+100*$D$5</f>
        <v>102</v>
      </c>
    </row>
    <row r="53" spans="6:26" x14ac:dyDescent="0.25">
      <c r="J53">
        <f>0.5*(K52+K54)*EXP(-bdt!J53*0.5)+100*$D$5</f>
        <v>113.83745153171961</v>
      </c>
      <c r="L53">
        <f>0.5*(M52+M54)*EXP(-bdt!L53*0.5)+100*$D$5</f>
        <v>109.92513291669317</v>
      </c>
      <c r="N53">
        <f>0.5*(O52+O54)*EXP(-bdt!N53*0.5)+100*$D$5</f>
        <v>105.96786330905663</v>
      </c>
      <c r="P53">
        <f>MIN(100,0.5*(Q52+Q54)*EXP(-bdt!P53*0.5))+100*$D$5</f>
        <v>102</v>
      </c>
      <c r="R53">
        <f>MIN(100,0.5*(S52+S54)*EXP(-bdt!R53*0.5))+100*$D$5</f>
        <v>102</v>
      </c>
      <c r="T53">
        <f>MIN(100,0.5*(U52+U54)*EXP(-bdt!T53*0.5))+100*$D$5</f>
        <v>102</v>
      </c>
      <c r="V53">
        <f>MIN(100,0.5*(W52+W54)*EXP(-bdt!V53*0.5))+100*$D$5</f>
        <v>102</v>
      </c>
      <c r="X53">
        <f>MIN(100,0.5*(Y52+Y54)*EXP(-bdt!X53*0.5))+100*$D$5</f>
        <v>102</v>
      </c>
      <c r="Z53">
        <f t="shared" ref="Z53" si="15">100*(1+$D$5)</f>
        <v>102</v>
      </c>
    </row>
    <row r="54" spans="6:26" x14ac:dyDescent="0.25">
      <c r="K54">
        <f>0.5*(L53+L55)*EXP(-bdt!K54*0.5)+100*$D$5</f>
        <v>111.92577433785404</v>
      </c>
      <c r="M54">
        <f>0.5*(N53+N55)*EXP(-bdt!M54*0.5)+100*$D$5</f>
        <v>107.96554397003958</v>
      </c>
      <c r="O54">
        <f>0.5*(P53+P55)*EXP(-bdt!O54*0.5)+100*$D$5</f>
        <v>103.99024758463555</v>
      </c>
      <c r="Q54">
        <f>MIN(100,0.5*(R53+R55)*EXP(-bdt!Q54*0.5))+100*$D$5</f>
        <v>102</v>
      </c>
      <c r="S54">
        <f>MIN(100,0.5*(T53+T55)*EXP(-bdt!S54*0.5))+100*$D$5</f>
        <v>102</v>
      </c>
      <c r="U54">
        <f>MIN(100,0.5*(V53+V55)*EXP(-bdt!U54*0.5))+100*$D$5</f>
        <v>102</v>
      </c>
      <c r="W54">
        <f>MIN(100,0.5*(X53+X55)*EXP(-bdt!W54*0.5))+100*$D$5</f>
        <v>102</v>
      </c>
      <c r="Y54">
        <f>MIN(100,0.5*(Z53+Z55)*EXP(-bdt!Y54*0.5))+100*$D$5</f>
        <v>102</v>
      </c>
    </row>
    <row r="55" spans="6:26" x14ac:dyDescent="0.25">
      <c r="L55">
        <f>0.5*(M54+M56)*EXP(-bdt!L55*0.5)+100*$D$5</f>
        <v>109.9672866182287</v>
      </c>
      <c r="N55">
        <f>0.5*(O54+O56)*EXP(-bdt!N55*0.5)+100*$D$5</f>
        <v>105.98718191329074</v>
      </c>
      <c r="P55">
        <f>MIN(100,0.5*(Q54+Q56)*EXP(-bdt!P55*0.5))+100*$D$5</f>
        <v>102</v>
      </c>
      <c r="R55">
        <f>MIN(100,0.5*(S54+S56)*EXP(-bdt!R55*0.5))+100*$D$5</f>
        <v>102</v>
      </c>
      <c r="T55">
        <f>MIN(100,0.5*(U54+U56)*EXP(-bdt!T55*0.5))+100*$D$5</f>
        <v>102</v>
      </c>
      <c r="V55">
        <f>MIN(100,0.5*(W54+W56)*EXP(-bdt!V55*0.5))+100*$D$5</f>
        <v>102</v>
      </c>
      <c r="X55">
        <f>MIN(100,0.5*(Y54+Y56)*EXP(-bdt!X55*0.5))+100*$D$5</f>
        <v>102</v>
      </c>
      <c r="Z55">
        <f t="shared" ref="Z55" si="16">100*(1+$D$5)</f>
        <v>102</v>
      </c>
    </row>
    <row r="56" spans="6:26" x14ac:dyDescent="0.25">
      <c r="M56">
        <f>0.5*(N55+N57)*EXP(-bdt!M56*0.5)+100*$D$5</f>
        <v>107.98625666491533</v>
      </c>
      <c r="O56">
        <f>0.5*(P55+P57)*EXP(-bdt!O56*0.5)+100*$D$5</f>
        <v>103.99611041112865</v>
      </c>
      <c r="Q56">
        <f>MIN(100,0.5*(R55+R57)*EXP(-bdt!Q56*0.5))+100*$D$5</f>
        <v>102</v>
      </c>
      <c r="S56">
        <f>MIN(100,0.5*(T55+T57)*EXP(-bdt!S56*0.5))+100*$D$5</f>
        <v>102</v>
      </c>
      <c r="U56">
        <f>MIN(100,0.5*(V55+V57)*EXP(-bdt!U56*0.5))+100*$D$5</f>
        <v>102</v>
      </c>
      <c r="W56">
        <f>MIN(100,0.5*(X55+X57)*EXP(-bdt!W56*0.5))+100*$D$5</f>
        <v>102</v>
      </c>
      <c r="Y56">
        <f>MIN(100,0.5*(Z55+Z57)*EXP(-bdt!Y56*0.5))+100*$D$5</f>
        <v>102</v>
      </c>
    </row>
    <row r="57" spans="6:26" x14ac:dyDescent="0.25">
      <c r="N57">
        <f>0.5*(O56+O58)*EXP(-bdt!N57*0.5)+100*$D$5</f>
        <v>105.99488766184305</v>
      </c>
      <c r="P57">
        <f>MIN(100,0.5*(Q56+Q58)*EXP(-bdt!P57*0.5))+100*$D$5</f>
        <v>102</v>
      </c>
      <c r="R57">
        <f>MIN(100,0.5*(S56+S58)*EXP(-bdt!R57*0.5))+100*$D$5</f>
        <v>102</v>
      </c>
      <c r="T57">
        <f>MIN(100,0.5*(U56+U58)*EXP(-bdt!T57*0.5))+100*$D$5</f>
        <v>102</v>
      </c>
      <c r="V57">
        <f>MIN(100,0.5*(W56+W58)*EXP(-bdt!V57*0.5))+100*$D$5</f>
        <v>102</v>
      </c>
      <c r="X57">
        <f>MIN(100,0.5*(Y56+Y58)*EXP(-bdt!X57*0.5))+100*$D$5</f>
        <v>102</v>
      </c>
      <c r="Z57">
        <f t="shared" ref="Z57" si="17">100*(1+$D$5)</f>
        <v>102</v>
      </c>
    </row>
    <row r="58" spans="6:26" x14ac:dyDescent="0.25">
      <c r="O58">
        <f>0.5*(P57+P59)*EXP(-bdt!O58*0.5)+100*$D$5</f>
        <v>103.99844872889201</v>
      </c>
      <c r="Q58">
        <f>MIN(100,0.5*(R57+R59)*EXP(-bdt!Q58*0.5))+100*$D$5</f>
        <v>102</v>
      </c>
      <c r="S58">
        <f>MIN(100,0.5*(T57+T59)*EXP(-bdt!S58*0.5))+100*$D$5</f>
        <v>102</v>
      </c>
      <c r="U58">
        <f>MIN(100,0.5*(V57+V59)*EXP(-bdt!U58*0.5))+100*$D$5</f>
        <v>102</v>
      </c>
      <c r="W58">
        <f>MIN(100,0.5*(X57+X59)*EXP(-bdt!W58*0.5))+100*$D$5</f>
        <v>102</v>
      </c>
      <c r="Y58">
        <f>MIN(100,0.5*(Z57+Z59)*EXP(-bdt!Y58*0.5))+100*$D$5</f>
        <v>102</v>
      </c>
    </row>
    <row r="59" spans="6:26" x14ac:dyDescent="0.25">
      <c r="P59">
        <f>MIN(100,0.5*(Q58+Q60)*EXP(-bdt!P59*0.5))+100*$D$5</f>
        <v>102</v>
      </c>
      <c r="R59">
        <f>MIN(100,0.5*(S58+S60)*EXP(-bdt!R59*0.5))+100*$D$5</f>
        <v>102</v>
      </c>
      <c r="T59">
        <f>MIN(100,0.5*(U58+U60)*EXP(-bdt!T59*0.5))+100*$D$5</f>
        <v>102</v>
      </c>
      <c r="V59">
        <f>MIN(100,0.5*(W58+W60)*EXP(-bdt!V59*0.5))+100*$D$5</f>
        <v>102</v>
      </c>
      <c r="X59">
        <f>MIN(100,0.5*(Y58+Y60)*EXP(-bdt!X59*0.5))+100*$D$5</f>
        <v>102</v>
      </c>
      <c r="Z59">
        <f t="shared" ref="Z59" si="18">100*(1+$D$5)</f>
        <v>102</v>
      </c>
    </row>
    <row r="60" spans="6:26" x14ac:dyDescent="0.25">
      <c r="Q60">
        <f>MIN(100,0.5*(R59+R61)*EXP(-bdt!Q60*0.5))+100*$D$5</f>
        <v>102</v>
      </c>
      <c r="S60">
        <f>MIN(100,0.5*(T59+T61)*EXP(-bdt!S60*0.5))+100*$D$5</f>
        <v>102</v>
      </c>
      <c r="U60">
        <f>MIN(100,0.5*(V59+V61)*EXP(-bdt!U60*0.5))+100*$D$5</f>
        <v>102</v>
      </c>
      <c r="W60">
        <f>MIN(100,0.5*(X59+X61)*EXP(-bdt!W60*0.5))+100*$D$5</f>
        <v>102</v>
      </c>
      <c r="Y60">
        <f>MIN(100,0.5*(Z59+Z61)*EXP(-bdt!Y60*0.5))+100*$D$5</f>
        <v>102</v>
      </c>
    </row>
    <row r="61" spans="6:26" x14ac:dyDescent="0.25">
      <c r="R61">
        <f>MIN(100,0.5*(S60+S62)*EXP(-bdt!R61*0.5))+100*$D$5</f>
        <v>102</v>
      </c>
      <c r="T61">
        <f>MIN(100,0.5*(U60+U62)*EXP(-bdt!T61*0.5))+100*$D$5</f>
        <v>102</v>
      </c>
      <c r="V61">
        <f>MIN(100,0.5*(W60+W62)*EXP(-bdt!V61*0.5))+100*$D$5</f>
        <v>102</v>
      </c>
      <c r="X61">
        <f>MIN(100,0.5*(Y60+Y62)*EXP(-bdt!X61*0.5))+100*$D$5</f>
        <v>102</v>
      </c>
      <c r="Z61">
        <f t="shared" ref="Z61" si="19">100*(1+$D$5)</f>
        <v>102</v>
      </c>
    </row>
    <row r="62" spans="6:26" x14ac:dyDescent="0.25">
      <c r="S62">
        <f>MIN(100,0.5*(T61+T63)*EXP(-bdt!S62*0.5))+100*$D$5</f>
        <v>102</v>
      </c>
      <c r="U62">
        <f>MIN(100,0.5*(V61+V63)*EXP(-bdt!U62*0.5))+100*$D$5</f>
        <v>102</v>
      </c>
      <c r="W62">
        <f>MIN(100,0.5*(X61+X63)*EXP(-bdt!W62*0.5))+100*$D$5</f>
        <v>102</v>
      </c>
      <c r="Y62">
        <f>MIN(100,0.5*(Z61+Z63)*EXP(-bdt!Y62*0.5))+100*$D$5</f>
        <v>102</v>
      </c>
    </row>
    <row r="63" spans="6:26" x14ac:dyDescent="0.25">
      <c r="T63">
        <f>MIN(100,0.5*(U62+U64)*EXP(-bdt!T63*0.5))+100*$D$5</f>
        <v>102</v>
      </c>
      <c r="V63">
        <f>MIN(100,0.5*(W62+W64)*EXP(-bdt!V63*0.5))+100*$D$5</f>
        <v>102</v>
      </c>
      <c r="X63">
        <f>MIN(100,0.5*(Y62+Y64)*EXP(-bdt!X63*0.5))+100*$D$5</f>
        <v>102</v>
      </c>
      <c r="Z63">
        <f t="shared" ref="Z63" si="20">100*(1+$D$5)</f>
        <v>102</v>
      </c>
    </row>
    <row r="64" spans="6:26" x14ac:dyDescent="0.25">
      <c r="U64">
        <f>MIN(100,0.5*(V63+V65)*EXP(-bdt!U64*0.5))+100*$D$5</f>
        <v>102</v>
      </c>
      <c r="W64">
        <f>MIN(100,0.5*(X63+X65)*EXP(-bdt!W64*0.5))+100*$D$5</f>
        <v>102</v>
      </c>
      <c r="Y64">
        <f>MIN(100,0.5*(Z63+Z65)*EXP(-bdt!Y64*0.5))+100*$D$5</f>
        <v>102</v>
      </c>
    </row>
    <row r="65" spans="1:26" x14ac:dyDescent="0.25">
      <c r="V65">
        <f>MIN(100,0.5*(W64+W66)*EXP(-bdt!V65*0.5))+100*$D$5</f>
        <v>102</v>
      </c>
      <c r="X65">
        <f>MIN(100,0.5*(Y64+Y66)*EXP(-bdt!X65*0.5))+100*$D$5</f>
        <v>102</v>
      </c>
      <c r="Z65">
        <f t="shared" ref="Z65" si="21">100*(1+$D$5)</f>
        <v>102</v>
      </c>
    </row>
    <row r="66" spans="1:26" x14ac:dyDescent="0.25">
      <c r="W66">
        <f>MIN(100,0.5*(X65+X67)*EXP(-bdt!W66*0.5))+100*$D$5</f>
        <v>102</v>
      </c>
      <c r="Y66">
        <f>MIN(100,0.5*(Z65+Z67)*EXP(-bdt!Y66*0.5))+100*$D$5</f>
        <v>102</v>
      </c>
    </row>
    <row r="67" spans="1:26" x14ac:dyDescent="0.25">
      <c r="X67">
        <f>MIN(100,0.5*(Y66+Y68)*EXP(-bdt!X67*0.5))+100*$D$5</f>
        <v>102</v>
      </c>
      <c r="Z67">
        <f t="shared" ref="Z67" si="22">100*(1+$D$5)</f>
        <v>102</v>
      </c>
    </row>
    <row r="68" spans="1:26" x14ac:dyDescent="0.25">
      <c r="Y68">
        <f>MIN(100,0.5*(Z67+Z69)*EXP(-bdt!Y68*0.5))+100*$D$5</f>
        <v>102</v>
      </c>
    </row>
    <row r="69" spans="1:26" x14ac:dyDescent="0.25">
      <c r="Z69">
        <f t="shared" ref="Z69" si="23">100*(1+$D$5)</f>
        <v>102</v>
      </c>
    </row>
    <row r="71" spans="1:26" x14ac:dyDescent="0.25">
      <c r="A71" t="s">
        <v>58</v>
      </c>
    </row>
    <row r="72" spans="1:26" x14ac:dyDescent="0.25">
      <c r="A72">
        <v>0</v>
      </c>
      <c r="B72">
        <v>0.5</v>
      </c>
      <c r="C72">
        <v>1</v>
      </c>
      <c r="D72">
        <v>1.5</v>
      </c>
      <c r="E72">
        <v>2</v>
      </c>
      <c r="F72">
        <v>2.5</v>
      </c>
      <c r="G72">
        <v>3</v>
      </c>
      <c r="H72">
        <v>3.5</v>
      </c>
      <c r="I72">
        <v>4</v>
      </c>
      <c r="J72">
        <v>4.5</v>
      </c>
      <c r="K72">
        <v>5</v>
      </c>
      <c r="L72">
        <v>5.5</v>
      </c>
      <c r="M72">
        <v>6</v>
      </c>
      <c r="N72">
        <v>6.5</v>
      </c>
      <c r="O72">
        <v>7</v>
      </c>
      <c r="P72">
        <v>7.5</v>
      </c>
      <c r="Q72">
        <v>8</v>
      </c>
      <c r="R72">
        <v>8.5</v>
      </c>
      <c r="S72">
        <v>9</v>
      </c>
      <c r="T72">
        <v>9.5</v>
      </c>
      <c r="U72">
        <v>10</v>
      </c>
      <c r="V72">
        <v>10.5</v>
      </c>
      <c r="W72">
        <v>11</v>
      </c>
      <c r="X72">
        <v>11.5</v>
      </c>
      <c r="Y72">
        <v>12</v>
      </c>
      <c r="Z72">
        <v>12.5</v>
      </c>
    </row>
    <row r="75" spans="1:26" x14ac:dyDescent="0.25">
      <c r="A75" t="s">
        <v>64</v>
      </c>
    </row>
    <row r="76" spans="1:26" x14ac:dyDescent="0.25">
      <c r="A76" t="s">
        <v>65</v>
      </c>
      <c r="G76">
        <v>102.98</v>
      </c>
    </row>
    <row r="78" spans="1:26" x14ac:dyDescent="0.25">
      <c r="A78" t="s">
        <v>69</v>
      </c>
      <c r="F78" s="2" t="s">
        <v>70</v>
      </c>
    </row>
    <row r="80" spans="1:26" x14ac:dyDescent="0.25">
      <c r="A80" t="s">
        <v>66</v>
      </c>
    </row>
    <row r="81" spans="1:12" x14ac:dyDescent="0.25">
      <c r="B81" t="s">
        <v>71</v>
      </c>
    </row>
    <row r="83" spans="1:12" x14ac:dyDescent="0.25">
      <c r="A83" t="s">
        <v>67</v>
      </c>
    </row>
    <row r="84" spans="1:12" x14ac:dyDescent="0.25">
      <c r="A84" t="s">
        <v>68</v>
      </c>
    </row>
    <row r="86" spans="1:12" x14ac:dyDescent="0.25">
      <c r="A86" t="s">
        <v>13</v>
      </c>
      <c r="L86">
        <f>OASrts!C1</f>
        <v>-2.3700000000000001E-3</v>
      </c>
    </row>
    <row r="91" spans="1:12" x14ac:dyDescent="0.25">
      <c r="A91" t="s">
        <v>14</v>
      </c>
    </row>
    <row r="92" spans="1:12" x14ac:dyDescent="0.25">
      <c r="B92" t="s">
        <v>15</v>
      </c>
    </row>
    <row r="93" spans="1:12" x14ac:dyDescent="0.25">
      <c r="B93" t="s">
        <v>16</v>
      </c>
    </row>
    <row r="94" spans="1:12" x14ac:dyDescent="0.25">
      <c r="B94" t="s">
        <v>17</v>
      </c>
    </row>
    <row r="95" spans="1:12" x14ac:dyDescent="0.25">
      <c r="B95">
        <f>'noncallable bond'!B43</f>
        <v>97.347548298193118</v>
      </c>
      <c r="C95" t="s">
        <v>18</v>
      </c>
      <c r="D95" t="s">
        <v>19</v>
      </c>
      <c r="E95">
        <v>100</v>
      </c>
      <c r="F95" t="s">
        <v>20</v>
      </c>
      <c r="G95" s="2" t="s">
        <v>21</v>
      </c>
      <c r="H95">
        <f>B43</f>
        <v>93.310320701163846</v>
      </c>
    </row>
    <row r="96" spans="1:12" x14ac:dyDescent="0.25">
      <c r="B96">
        <f>'noncallable bond'!B45</f>
        <v>116.55266298815651</v>
      </c>
      <c r="C96" t="s">
        <v>18</v>
      </c>
      <c r="D96" t="s">
        <v>22</v>
      </c>
      <c r="E96">
        <v>100</v>
      </c>
      <c r="F96" t="s">
        <v>23</v>
      </c>
      <c r="G96" s="2" t="s">
        <v>21</v>
      </c>
      <c r="H96">
        <f>B45</f>
        <v>109.71331976254251</v>
      </c>
    </row>
    <row r="98" spans="1:12" x14ac:dyDescent="0.25">
      <c r="B98" t="s">
        <v>20</v>
      </c>
      <c r="C98" s="2" t="s">
        <v>24</v>
      </c>
      <c r="D98">
        <f>B96/E96</f>
        <v>1.1655266298815652</v>
      </c>
      <c r="E98" t="s">
        <v>18</v>
      </c>
      <c r="F98" t="s">
        <v>25</v>
      </c>
      <c r="G98">
        <f>H96/E96</f>
        <v>1.097133197625425</v>
      </c>
    </row>
    <row r="100" spans="1:12" x14ac:dyDescent="0.25">
      <c r="B100">
        <f>B95</f>
        <v>97.347548298193118</v>
      </c>
      <c r="C100" t="s">
        <v>18</v>
      </c>
      <c r="D100" t="s">
        <v>22</v>
      </c>
      <c r="E100">
        <f>E95</f>
        <v>100</v>
      </c>
      <c r="F100" t="s">
        <v>26</v>
      </c>
      <c r="G100">
        <f>D98</f>
        <v>1.1655266298815652</v>
      </c>
      <c r="H100" t="s">
        <v>18</v>
      </c>
      <c r="I100" t="s">
        <v>27</v>
      </c>
      <c r="J100">
        <f>G98</f>
        <v>1.097133197625425</v>
      </c>
      <c r="K100" t="s">
        <v>28</v>
      </c>
      <c r="L100">
        <f>H95</f>
        <v>93.310320701163846</v>
      </c>
    </row>
    <row r="102" spans="1:12" x14ac:dyDescent="0.25">
      <c r="B102">
        <f>B100-B96</f>
        <v>-19.205114689963395</v>
      </c>
      <c r="C102" t="s">
        <v>29</v>
      </c>
      <c r="D102">
        <f>H95-H96</f>
        <v>-16.402999061378665</v>
      </c>
    </row>
    <row r="104" spans="1:12" x14ac:dyDescent="0.25">
      <c r="B104" t="s">
        <v>30</v>
      </c>
      <c r="C104">
        <f>D102/B102</f>
        <v>0.85409534523378206</v>
      </c>
    </row>
    <row r="105" spans="1:12" x14ac:dyDescent="0.25">
      <c r="B105" t="s">
        <v>31</v>
      </c>
      <c r="C105">
        <f>(B95*C104-H95)/-E95</f>
        <v>0.10166232829756325</v>
      </c>
    </row>
    <row r="107" spans="1:12" x14ac:dyDescent="0.25">
      <c r="B107" t="s">
        <v>32</v>
      </c>
    </row>
    <row r="108" spans="1:12" x14ac:dyDescent="0.25">
      <c r="C108" t="s">
        <v>33</v>
      </c>
      <c r="D108">
        <f>B95*C104+E95*C105</f>
        <v>93.310320701163846</v>
      </c>
    </row>
    <row r="109" spans="1:12" x14ac:dyDescent="0.25">
      <c r="C109" t="s">
        <v>34</v>
      </c>
      <c r="D109">
        <f>B96*C104+E96*C105</f>
        <v>109.71331976254251</v>
      </c>
    </row>
    <row r="111" spans="1:12" x14ac:dyDescent="0.25">
      <c r="A111" t="s">
        <v>36</v>
      </c>
      <c r="C111">
        <f>100*EXP(-bdt!A44*0.5)</f>
        <v>99.670543901543809</v>
      </c>
    </row>
    <row r="113" spans="1:9" x14ac:dyDescent="0.25">
      <c r="A113" t="s">
        <v>35</v>
      </c>
      <c r="E113">
        <f>C104*'noncallable bond'!A44+C105*'callable bond'!C111</f>
        <v>101.17738334944545</v>
      </c>
      <c r="F113" t="s">
        <v>37</v>
      </c>
    </row>
    <row r="114" spans="1:9" x14ac:dyDescent="0.25">
      <c r="F114" s="2" t="s">
        <v>38</v>
      </c>
    </row>
    <row r="115" spans="1:9" x14ac:dyDescent="0.25">
      <c r="A115" t="s">
        <v>2</v>
      </c>
    </row>
    <row r="116" spans="1:9" x14ac:dyDescent="0.25">
      <c r="B116" t="s">
        <v>39</v>
      </c>
    </row>
    <row r="117" spans="1:9" x14ac:dyDescent="0.25">
      <c r="E117" t="s">
        <v>3</v>
      </c>
      <c r="I117" s="3">
        <f>G76</f>
        <v>102.98</v>
      </c>
    </row>
    <row r="118" spans="1:9" x14ac:dyDescent="0.25">
      <c r="E118" t="s">
        <v>4</v>
      </c>
    </row>
    <row r="119" spans="1:9" x14ac:dyDescent="0.25">
      <c r="E119">
        <f>C104</f>
        <v>0.85409534523378206</v>
      </c>
      <c r="F119" t="s">
        <v>0</v>
      </c>
      <c r="H119">
        <f>-E119*'noncallable bond'!A44</f>
        <v>-91.044643793730017</v>
      </c>
    </row>
    <row r="120" spans="1:9" x14ac:dyDescent="0.25">
      <c r="E120">
        <f>C105</f>
        <v>0.10166232829756325</v>
      </c>
      <c r="F120" t="s">
        <v>1</v>
      </c>
      <c r="H120">
        <f>-E120*C111</f>
        <v>-10.132739555715437</v>
      </c>
    </row>
    <row r="121" spans="1:9" x14ac:dyDescent="0.25">
      <c r="I121" s="3">
        <f>H119+H120</f>
        <v>-101.17738334944545</v>
      </c>
    </row>
    <row r="123" spans="1:9" x14ac:dyDescent="0.25">
      <c r="E123" s="3" t="s">
        <v>5</v>
      </c>
      <c r="I123" s="3">
        <f>I117+I121</f>
        <v>1.8026166505545547</v>
      </c>
    </row>
    <row r="125" spans="1:9" x14ac:dyDescent="0.25">
      <c r="A125" t="s">
        <v>6</v>
      </c>
    </row>
    <row r="126" spans="1:9" x14ac:dyDescent="0.25">
      <c r="B126" t="s">
        <v>7</v>
      </c>
      <c r="C126" t="s">
        <v>8</v>
      </c>
      <c r="I126">
        <f>D108-B43</f>
        <v>0</v>
      </c>
    </row>
    <row r="127" spans="1:9" x14ac:dyDescent="0.25">
      <c r="B127" s="2" t="s">
        <v>9</v>
      </c>
      <c r="C127" t="s">
        <v>10</v>
      </c>
      <c r="I127">
        <f>D109-B45</f>
        <v>0</v>
      </c>
    </row>
    <row r="128" spans="1:9" x14ac:dyDescent="0.25">
      <c r="C128" t="s">
        <v>11</v>
      </c>
    </row>
  </sheetData>
  <phoneticPr fontId="1" type="noConversion"/>
  <conditionalFormatting sqref="I57:X63 I65:X65 U64:X64 I72:Z72 I56:L56 N54:X56 I55:K55 I54:J54">
    <cfRule type="cellIs" dxfId="388" priority="153" operator="equal">
      <formula>100*(1+$D$5)</formula>
    </cfRule>
  </conditionalFormatting>
  <conditionalFormatting sqref="Y68">
    <cfRule type="cellIs" dxfId="387" priority="151" operator="equal">
      <formula>100*(1+$D$5)</formula>
    </cfRule>
  </conditionalFormatting>
  <conditionalFormatting sqref="X67">
    <cfRule type="cellIs" dxfId="386" priority="150" operator="equal">
      <formula>100*(1+$D$5)</formula>
    </cfRule>
  </conditionalFormatting>
  <conditionalFormatting sqref="Y66">
    <cfRule type="cellIs" dxfId="385" priority="148" operator="equal">
      <formula>100*(1+$D$5)</formula>
    </cfRule>
  </conditionalFormatting>
  <conditionalFormatting sqref="Y62">
    <cfRule type="cellIs" dxfId="384" priority="144" operator="equal">
      <formula>100*(1+$D$5)</formula>
    </cfRule>
  </conditionalFormatting>
  <conditionalFormatting sqref="Y64">
    <cfRule type="cellIs" dxfId="383" priority="143" operator="equal">
      <formula>100*(1+$D$5)</formula>
    </cfRule>
  </conditionalFormatting>
  <conditionalFormatting sqref="Y52">
    <cfRule type="cellIs" dxfId="382" priority="136" operator="equal">
      <formula>100*(1+$D$5)</formula>
    </cfRule>
  </conditionalFormatting>
  <conditionalFormatting sqref="Y54">
    <cfRule type="cellIs" dxfId="381" priority="131" operator="equal">
      <formula>100*(1+$D$5)</formula>
    </cfRule>
  </conditionalFormatting>
  <conditionalFormatting sqref="Y56">
    <cfRule type="cellIs" dxfId="380" priority="130" operator="equal">
      <formula>100*(1+$D$5)</formula>
    </cfRule>
  </conditionalFormatting>
  <conditionalFormatting sqref="Y58">
    <cfRule type="cellIs" dxfId="379" priority="129" operator="equal">
      <formula>100*(1+$D$5)</formula>
    </cfRule>
  </conditionalFormatting>
  <conditionalFormatting sqref="Y60">
    <cfRule type="cellIs" dxfId="378" priority="128" operator="equal">
      <formula>100*(1+$D$5)</formula>
    </cfRule>
  </conditionalFormatting>
  <conditionalFormatting sqref="W66">
    <cfRule type="cellIs" dxfId="377" priority="120" operator="equal">
      <formula>100*(1+$D$5)</formula>
    </cfRule>
  </conditionalFormatting>
  <conditionalFormatting sqref="Y50">
    <cfRule type="cellIs" dxfId="376" priority="48" operator="equal">
      <formula>100*(1+$D$5)</formula>
    </cfRule>
  </conditionalFormatting>
  <conditionalFormatting sqref="Y48">
    <cfRule type="cellIs" dxfId="375" priority="47" operator="equal">
      <formula>100*(1+$D$5)</formula>
    </cfRule>
  </conditionalFormatting>
  <conditionalFormatting sqref="Y46">
    <cfRule type="cellIs" dxfId="374" priority="46" operator="equal">
      <formula>100*(1+$D$5)</formula>
    </cfRule>
  </conditionalFormatting>
  <conditionalFormatting sqref="Y44">
    <cfRule type="cellIs" dxfId="373" priority="45" operator="equal">
      <formula>100*(1+$D$5)</formula>
    </cfRule>
  </conditionalFormatting>
  <conditionalFormatting sqref="Y42">
    <cfRule type="cellIs" dxfId="372" priority="44" operator="equal">
      <formula>100*(1+$D$5)</formula>
    </cfRule>
  </conditionalFormatting>
  <conditionalFormatting sqref="Y40">
    <cfRule type="cellIs" dxfId="371" priority="43" operator="equal">
      <formula>100*(1+$D$5)</formula>
    </cfRule>
  </conditionalFormatting>
  <conditionalFormatting sqref="Y38">
    <cfRule type="cellIs" dxfId="370" priority="42" operator="equal">
      <formula>100*(1+$D$5)</formula>
    </cfRule>
  </conditionalFormatting>
  <conditionalFormatting sqref="Y36">
    <cfRule type="cellIs" dxfId="369" priority="41" operator="equal">
      <formula>100*(1+$D$5)</formula>
    </cfRule>
  </conditionalFormatting>
  <conditionalFormatting sqref="Y34">
    <cfRule type="cellIs" dxfId="368" priority="40" operator="equal">
      <formula>100*(1+$D$5)</formula>
    </cfRule>
  </conditionalFormatting>
  <conditionalFormatting sqref="Y32">
    <cfRule type="cellIs" dxfId="367" priority="39" operator="equal">
      <formula>100*(1+$D$5)</formula>
    </cfRule>
  </conditionalFormatting>
  <conditionalFormatting sqref="Y30">
    <cfRule type="cellIs" dxfId="366" priority="38" operator="equal">
      <formula>100*(1+$D$5)</formula>
    </cfRule>
  </conditionalFormatting>
  <conditionalFormatting sqref="Y28">
    <cfRule type="cellIs" dxfId="365" priority="37" operator="equal">
      <formula>100*(1+$D$5)</formula>
    </cfRule>
  </conditionalFormatting>
  <conditionalFormatting sqref="Y26">
    <cfRule type="cellIs" dxfId="364" priority="36" operator="equal">
      <formula>100*(1+$D$5)</formula>
    </cfRule>
  </conditionalFormatting>
  <conditionalFormatting sqref="Y24">
    <cfRule type="cellIs" dxfId="363" priority="35" operator="equal">
      <formula>100*(1+$D$5)</formula>
    </cfRule>
  </conditionalFormatting>
  <conditionalFormatting sqref="Y22">
    <cfRule type="cellIs" dxfId="362" priority="34" operator="equal">
      <formula>100*(1+$D$5)</formula>
    </cfRule>
  </conditionalFormatting>
  <conditionalFormatting sqref="Y20">
    <cfRule type="cellIs" dxfId="361" priority="33" operator="equal">
      <formula>100*(1+$D$5)</formula>
    </cfRule>
  </conditionalFormatting>
  <conditionalFormatting sqref="X21">
    <cfRule type="cellIs" dxfId="360" priority="32" operator="equal">
      <formula>100*(1+$D$5)</formula>
    </cfRule>
  </conditionalFormatting>
  <conditionalFormatting sqref="X23">
    <cfRule type="cellIs" dxfId="359" priority="31" operator="equal">
      <formula>100*(1+$D$5)</formula>
    </cfRule>
  </conditionalFormatting>
  <conditionalFormatting sqref="X25">
    <cfRule type="cellIs" dxfId="358" priority="30" operator="equal">
      <formula>100*(1+$D$5)</formula>
    </cfRule>
  </conditionalFormatting>
  <conditionalFormatting sqref="I27:X31 Q53:X53 N53:O53 I32:L32 N32:X52 I33:K33 I34:J34 I35 I53">
    <cfRule type="cellIs" dxfId="357" priority="28" operator="equal">
      <formula>100*(1+$D$5)</formula>
    </cfRule>
  </conditionalFormatting>
  <conditionalFormatting sqref="C42">
    <cfRule type="cellIs" dxfId="356" priority="3" operator="equal">
      <formula>100*(1+$D$5)</formula>
    </cfRule>
  </conditionalFormatting>
  <conditionalFormatting sqref="P53">
    <cfRule type="cellIs" dxfId="355" priority="26" operator="equal">
      <formula>100*(1+$D$5)</formula>
    </cfRule>
  </conditionalFormatting>
  <conditionalFormatting sqref="A37:G37 A38:F38 A39:E39 A49:E49 A40:D40 A48:D48 A41:C41 A47:C47 A42:B42 A46:B46 A43 A45">
    <cfRule type="cellIs" dxfId="354" priority="25" operator="equal">
      <formula>100*(1+$D$5)</formula>
    </cfRule>
  </conditionalFormatting>
  <conditionalFormatting sqref="M53:M56">
    <cfRule type="cellIs" dxfId="353" priority="24" operator="equal">
      <formula>100*(1+$D$5)</formula>
    </cfRule>
  </conditionalFormatting>
  <conditionalFormatting sqref="M32:M52">
    <cfRule type="cellIs" dxfId="352" priority="23" operator="equal">
      <formula>100*(1+$D$5)</formula>
    </cfRule>
  </conditionalFormatting>
  <conditionalFormatting sqref="L52:L55">
    <cfRule type="cellIs" dxfId="351" priority="22" operator="equal">
      <formula>100*(1+$D$5)</formula>
    </cfRule>
  </conditionalFormatting>
  <conditionalFormatting sqref="L33:L51">
    <cfRule type="cellIs" dxfId="350" priority="21" operator="equal">
      <formula>100*(1+$D$5)</formula>
    </cfRule>
  </conditionalFormatting>
  <conditionalFormatting sqref="K51:K54">
    <cfRule type="cellIs" dxfId="349" priority="20" operator="equal">
      <formula>100*(1+$D$5)</formula>
    </cfRule>
  </conditionalFormatting>
  <conditionalFormatting sqref="K34:K50">
    <cfRule type="cellIs" dxfId="348" priority="19" operator="equal">
      <formula>100*(1+$D$5)</formula>
    </cfRule>
  </conditionalFormatting>
  <conditionalFormatting sqref="J50:J53">
    <cfRule type="cellIs" dxfId="347" priority="18" operator="equal">
      <formula>100*(1+$D$5)</formula>
    </cfRule>
  </conditionalFormatting>
  <conditionalFormatting sqref="J35:J49">
    <cfRule type="cellIs" dxfId="346" priority="17" operator="equal">
      <formula>100*(1+$D$5)</formula>
    </cfRule>
  </conditionalFormatting>
  <conditionalFormatting sqref="I49:I52">
    <cfRule type="cellIs" dxfId="345" priority="16" operator="equal">
      <formula>100*(1+$D$5)</formula>
    </cfRule>
  </conditionalFormatting>
  <conditionalFormatting sqref="I36:I48">
    <cfRule type="cellIs" dxfId="344" priority="15" operator="equal">
      <formula>100*(1+$D$5)</formula>
    </cfRule>
  </conditionalFormatting>
  <conditionalFormatting sqref="H48:H51">
    <cfRule type="cellIs" dxfId="343" priority="14" operator="equal">
      <formula>100*(1+$D$5)</formula>
    </cfRule>
  </conditionalFormatting>
  <conditionalFormatting sqref="H37:H47">
    <cfRule type="cellIs" dxfId="342" priority="13" operator="equal">
      <formula>100*(1+$D$5)</formula>
    </cfRule>
  </conditionalFormatting>
  <conditionalFormatting sqref="G47:G50">
    <cfRule type="cellIs" dxfId="341" priority="12" operator="equal">
      <formula>100*(1+$D$5)</formula>
    </cfRule>
  </conditionalFormatting>
  <conditionalFormatting sqref="G38:G46">
    <cfRule type="cellIs" dxfId="340" priority="11" operator="equal">
      <formula>100*(1+$D$5)</formula>
    </cfRule>
  </conditionalFormatting>
  <conditionalFormatting sqref="F46:F49">
    <cfRule type="cellIs" dxfId="339" priority="10" operator="equal">
      <formula>100*(1+$D$5)</formula>
    </cfRule>
  </conditionalFormatting>
  <conditionalFormatting sqref="F39:F45">
    <cfRule type="cellIs" dxfId="338" priority="9" operator="equal">
      <formula>100*(1+$D$5)</formula>
    </cfRule>
  </conditionalFormatting>
  <conditionalFormatting sqref="E45:E48">
    <cfRule type="cellIs" dxfId="337" priority="8" operator="equal">
      <formula>100*(1+$D$5)</formula>
    </cfRule>
  </conditionalFormatting>
  <conditionalFormatting sqref="E40:E44">
    <cfRule type="cellIs" dxfId="336" priority="7" operator="equal">
      <formula>100*(1+$D$5)</formula>
    </cfRule>
  </conditionalFormatting>
  <conditionalFormatting sqref="D44:D47">
    <cfRule type="cellIs" dxfId="335" priority="6" operator="equal">
      <formula>100*(1+$D$5)</formula>
    </cfRule>
  </conditionalFormatting>
  <conditionalFormatting sqref="D41:D43">
    <cfRule type="cellIs" dxfId="334" priority="5" operator="equal">
      <formula>100*(1+$D$5)</formula>
    </cfRule>
  </conditionalFormatting>
  <conditionalFormatting sqref="C43:C46">
    <cfRule type="cellIs" dxfId="333" priority="4" operator="equal">
      <formula>100*(1+$D$5)</formula>
    </cfRule>
  </conditionalFormatting>
  <conditionalFormatting sqref="B43:B45">
    <cfRule type="cellIs" dxfId="332" priority="2" operator="equal">
      <formula>100*(1+$D$5)</formula>
    </cfRule>
  </conditionalFormatting>
  <conditionalFormatting sqref="A44">
    <cfRule type="cellIs" dxfId="331" priority="1" operator="equal">
      <formula>100*(1+$D$5)</formula>
    </cfRule>
  </conditionalFormatting>
  <pageMargins left="0.7" right="0.7" top="0.75" bottom="0.75" header="0.3" footer="0.3"/>
  <pageSetup orientation="portrait" horizontalDpi="4294967292" verticalDpi="4294967292"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codeName="Sheet3" enableFormatConditionsCalculation="0"/>
  <dimension ref="A5:Z69"/>
  <sheetViews>
    <sheetView topLeftCell="A26" workbookViewId="0">
      <selection activeCell="A45" sqref="A45"/>
    </sheetView>
  </sheetViews>
  <sheetFormatPr defaultColWidth="8.85546875" defaultRowHeight="15" x14ac:dyDescent="0.25"/>
  <sheetData>
    <row r="5" spans="4:4" x14ac:dyDescent="0.25">
      <c r="D5">
        <v>0.02</v>
      </c>
    </row>
    <row r="19" spans="13:26" x14ac:dyDescent="0.25">
      <c r="Z19">
        <f>100*(1+$D$5)</f>
        <v>102</v>
      </c>
    </row>
    <row r="20" spans="13:26" x14ac:dyDescent="0.25">
      <c r="Y20">
        <f>0.5*(Z19+Z21)*EXP(-bdt!Y20*0.5)+100*$D$5</f>
        <v>2.4120598808761566</v>
      </c>
    </row>
    <row r="21" spans="13:26" x14ac:dyDescent="0.25">
      <c r="X21">
        <f>0.5*(Y20+Y22)*EXP(-bdt!X21*0.5)+100*$D$5</f>
        <v>2.0135640598467064</v>
      </c>
      <c r="Z21">
        <f t="shared" ref="Z21" si="0">100*(1+$D$5)</f>
        <v>102</v>
      </c>
    </row>
    <row r="22" spans="13:26" x14ac:dyDescent="0.25">
      <c r="W22">
        <f>0.5*(X21+X23)*EXP(-bdt!W22*0.5)+100*$D$5</f>
        <v>2.035621314693977</v>
      </c>
      <c r="Y22">
        <f>0.5*(Z21+Z23)*EXP(-bdt!Y22*0.5)+100*$D$5</f>
        <v>5.8919056198995747</v>
      </c>
    </row>
    <row r="23" spans="13:26" x14ac:dyDescent="0.25">
      <c r="V23">
        <f>0.5*(W22+W24)*EXP(-bdt!V23*0.5)+100*$D$5</f>
        <v>2.0132675849738555</v>
      </c>
      <c r="X23">
        <f>0.5*(Y22+Y24)*EXP(-bdt!X23*0.5)+100*$D$5</f>
        <v>2.3804592781574199</v>
      </c>
      <c r="Z23">
        <f t="shared" ref="Z23" si="1">100*(1+$D$5)</f>
        <v>102</v>
      </c>
    </row>
    <row r="24" spans="13:26" x14ac:dyDescent="0.25">
      <c r="U24">
        <f>0.5*(V23+V25)*EXP(-bdt!U24*0.5)+100*$D$5</f>
        <v>2.0050488309085996</v>
      </c>
      <c r="W24">
        <f>0.5*(X23+X25)*EXP(-bdt!W24*0.5)+100*$D$5</f>
        <v>2.3392792925861459</v>
      </c>
      <c r="Y24">
        <f>0.5*(Z23+Z25)*EXP(-bdt!Y24*0.5)+100*$D$5</f>
        <v>16.724938908245768</v>
      </c>
    </row>
    <row r="25" spans="13:26" x14ac:dyDescent="0.25">
      <c r="T25">
        <f>0.5*(U24+U26)*EXP(-bdt!T25*0.5)+100*$D$5</f>
        <v>2.0266952731243291</v>
      </c>
      <c r="V25">
        <f>0.5*(W24+W26)*EXP(-bdt!V25*0.5)+100*$D$5</f>
        <v>2.1867757283172669</v>
      </c>
      <c r="X25">
        <f>0.5*(Y24+Y26)*EXP(-bdt!X25*0.5)+100*$D$5</f>
        <v>5.4248317289313075</v>
      </c>
      <c r="Z25">
        <f t="shared" ref="Z25" si="2">100*(1+$D$5)</f>
        <v>102</v>
      </c>
    </row>
    <row r="26" spans="13:26" x14ac:dyDescent="0.25">
      <c r="S26">
        <f>0.5*(T25+T27)*EXP(-bdt!S26*0.5)+100*$D$5</f>
        <v>2.0926250820636207</v>
      </c>
      <c r="U26">
        <f>0.5*(V25+V27)*EXP(-bdt!U26*0.5)+100*$D$5</f>
        <v>2.0941734232438458</v>
      </c>
      <c r="W26">
        <f>0.5*(X25+X27)*EXP(-bdt!W26*0.5)+100*$D$5</f>
        <v>4.4468891170511746</v>
      </c>
      <c r="Y26">
        <f>0.5*(Z25+Z27)*EXP(-bdt!Y26*0.5)+100*$D$5</f>
        <v>34.396928489992888</v>
      </c>
    </row>
    <row r="27" spans="13:26" x14ac:dyDescent="0.25">
      <c r="R27">
        <f>0.5*(S26+S28)*EXP(-bdt!R27*0.5)+100*$D$5</f>
        <v>2.2477774894328229</v>
      </c>
      <c r="T27">
        <f>0.5*(U26+U28)*EXP(-bdt!T27*0.5)+100*$D$5</f>
        <v>2.2145664673851866</v>
      </c>
      <c r="V27">
        <f>0.5*(W26+W28)*EXP(-bdt!V27*0.5)+100*$D$5</f>
        <v>3.6007411660988735</v>
      </c>
      <c r="X27">
        <f>0.5*(Y26+Y28)*EXP(-bdt!X27*0.5)+100*$D$5</f>
        <v>15.384623382170243</v>
      </c>
      <c r="Z27">
        <f t="shared" ref="Z27" si="3">100*(1+$D$5)</f>
        <v>102</v>
      </c>
    </row>
    <row r="28" spans="13:26" x14ac:dyDescent="0.25">
      <c r="Q28">
        <f>0.5*(R27+R29)*EXP(-bdt!Q28*0.5)+100*$D$5</f>
        <v>2.100446784110519</v>
      </c>
      <c r="S28">
        <f>0.5*(T27+T29)*EXP(-bdt!S28*0.5)+100*$D$5</f>
        <v>2.4656664250413085</v>
      </c>
      <c r="U28">
        <f>0.5*(V27+V29)*EXP(-bdt!U28*0.5)+100*$D$5</f>
        <v>2.9565210854271706</v>
      </c>
      <c r="W28">
        <f>0.5*(X27+X29)*EXP(-bdt!W28*0.5)+100*$D$5</f>
        <v>12.171234599810504</v>
      </c>
      <c r="Y28">
        <f>0.5*(Z27+Z29)*EXP(-bdt!Y28*0.5)+100*$D$5</f>
        <v>53.693408737707202</v>
      </c>
    </row>
    <row r="29" spans="13:26" x14ac:dyDescent="0.25">
      <c r="P29">
        <f>0.5*(Q28+Q30)*EXP(-bdt!P29*0.5)+100*$D$5</f>
        <v>2.7875998206797448</v>
      </c>
      <c r="R29">
        <f>0.5*(S28+S30)*EXP(-bdt!R29*0.5)+100*$D$5</f>
        <v>2.9976043765642402</v>
      </c>
      <c r="T29">
        <f>0.5*(U28+U30)*EXP(-bdt!T29*0.5)+100*$D$5</f>
        <v>3.298529474310155</v>
      </c>
      <c r="V29">
        <f>0.5*(W28+W30)*EXP(-bdt!V29*0.5)+100*$D$5</f>
        <v>9.783698421423523</v>
      </c>
      <c r="X29">
        <f>0.5*(Y28+Y30)*EXP(-bdt!X29*0.5)+100*$D$5</f>
        <v>32.579117979267899</v>
      </c>
      <c r="Z29">
        <f t="shared" ref="Z29" si="4">100*(1+$D$5)</f>
        <v>102</v>
      </c>
    </row>
    <row r="30" spans="13:26" x14ac:dyDescent="0.25">
      <c r="O30">
        <f>0.5*(P29+P31)*EXP(-bdt!O30*0.5)+100*$D$5</f>
        <v>2.0097548302103085</v>
      </c>
      <c r="Q30">
        <f>0.5*(R29+R31)*EXP(-bdt!Q30*0.5)+100*$D$5</f>
        <v>2.7616208140230638</v>
      </c>
      <c r="S30">
        <f>0.5*(T29+T31)*EXP(-bdt!S30*0.5)+100*$D$5</f>
        <v>4.0994723923956062</v>
      </c>
      <c r="U30">
        <f>0.5*(V29+V31)*EXP(-bdt!U30*0.5)+100*$D$5</f>
        <v>7.5786498686016843</v>
      </c>
      <c r="W30">
        <f>0.5*(X29+X31)*EXP(-bdt!W30*0.5)+100*$D$5</f>
        <v>27.497303551338543</v>
      </c>
      <c r="Y30">
        <f>0.5*(Z29+Z31)*EXP(-bdt!Y30*0.5)+100*$D$5</f>
        <v>70.185098720336825</v>
      </c>
    </row>
    <row r="31" spans="13:26" x14ac:dyDescent="0.25">
      <c r="N31">
        <f>0.5*(O30+O32)*EXP(-bdt!N31*0.5)+100*$D$5</f>
        <v>2.0664599900957752</v>
      </c>
      <c r="P31">
        <f>0.5*(Q30+Q32)*EXP(-bdt!P31*0.5)+100*$D$5</f>
        <v>4.3664068407180929</v>
      </c>
      <c r="R31">
        <f>0.5*(S30+S32)*EXP(-bdt!R31*0.5)+100*$D$5</f>
        <v>5.7768378054141873</v>
      </c>
      <c r="T31">
        <f>0.5*(U30+U32)*EXP(-bdt!T31*0.5)+100*$D$5</f>
        <v>8.2301270167087175</v>
      </c>
      <c r="V31">
        <f>0.5*(W30+W32)*EXP(-bdt!V31*0.5)+100*$D$5</f>
        <v>23.900304396392912</v>
      </c>
      <c r="X31">
        <f>0.5*(Y30+Y32)*EXP(-bdt!X31*0.5)+100*$D$5</f>
        <v>52.195951033676003</v>
      </c>
      <c r="Z31">
        <f t="shared" ref="Z31" si="5">100*(1+$D$5)</f>
        <v>102</v>
      </c>
    </row>
    <row r="32" spans="13:26" x14ac:dyDescent="0.25">
      <c r="M32">
        <f>0.5*(N31+N33)*EXP(-bdt!M32*0.5)+100*$D$5</f>
        <v>2.1666707978906534</v>
      </c>
      <c r="O32">
        <f>0.5*(P31+P33)*EXP(-bdt!O32*0.5)+100*$D$5</f>
        <v>2.6695717227941991</v>
      </c>
      <c r="Q32">
        <f>0.5*(R31+R33)*EXP(-bdt!Q32*0.5)+100*$D$5</f>
        <v>5.9048550096160923</v>
      </c>
      <c r="S32">
        <f>0.5*(T31+T33)*EXP(-bdt!S32*0.5)+100*$D$5</f>
        <v>10.21537497514808</v>
      </c>
      <c r="U32">
        <f>0.5*(V31+V33)*EXP(-bdt!U32*0.5)+100*$D$5</f>
        <v>20.023554923290259</v>
      </c>
      <c r="W32">
        <f>0.5*(X31+X33)*EXP(-bdt!W32*0.5)+100*$D$5</f>
        <v>47.011400132860508</v>
      </c>
      <c r="Y32">
        <f>0.5*(Z31+Z33)*EXP(-bdt!Y32*0.5)+100*$D$5</f>
        <v>82.343456261766903</v>
      </c>
    </row>
    <row r="33" spans="1:26" x14ac:dyDescent="0.25">
      <c r="L33">
        <f>0.5*(M32+M34)*EXP(-bdt!L33*0.5)+100*$D$5</f>
        <v>2.4607978004154125</v>
      </c>
      <c r="N33">
        <f>0.5*(O32+O34)*EXP(-bdt!N33*0.5)+100*$D$5</f>
        <v>3.3272942324655252</v>
      </c>
      <c r="P33">
        <f>0.5*(Q32+Q34)*EXP(-bdt!P33*0.5)+100*$D$5</f>
        <v>9.7435608153214019</v>
      </c>
      <c r="R33">
        <f>0.5*(S32+S34)*EXP(-bdt!R33*0.5)+100*$D$5</f>
        <v>14.212328662620457</v>
      </c>
      <c r="T33">
        <f>0.5*(U32+U34)*EXP(-bdt!T33*0.5)+100*$D$5</f>
        <v>20.930124890651907</v>
      </c>
      <c r="V33">
        <f>0.5*(W32+W34)*EXP(-bdt!V33*0.5)+100*$D$5</f>
        <v>43.617680026400002</v>
      </c>
      <c r="X33">
        <f>0.5*(Y32+Y34)*EXP(-bdt!X33*0.5)+100*$D$5</f>
        <v>69.468106646784562</v>
      </c>
      <c r="Z33">
        <f t="shared" ref="Z33" si="6">100*(1+$D$5)</f>
        <v>102</v>
      </c>
    </row>
    <row r="34" spans="1:26" x14ac:dyDescent="0.25">
      <c r="K34">
        <f>0.5*(L33+L35)*EXP(-bdt!K34*0.5)+100*$D$5</f>
        <v>4.8949666036891228</v>
      </c>
      <c r="M34">
        <f>0.5*(N33+N35)*EXP(-bdt!M34*0.5)+100*$D$5</f>
        <v>4.4072644023079111</v>
      </c>
      <c r="O34">
        <f>0.5*(P33+P35)*EXP(-bdt!O34*0.5)+100*$D$5</f>
        <v>8.3157645627878498</v>
      </c>
      <c r="Q34">
        <f>0.5*(R33+R35)*EXP(-bdt!Q34*0.5)+100*$D$5</f>
        <v>15.523210485099675</v>
      </c>
      <c r="S34">
        <f>0.5*(T33+T35)*EXP(-bdt!S34*0.5)+100*$D$5</f>
        <v>24.207008333929029</v>
      </c>
      <c r="U34">
        <f>0.5*(V33+V35)*EXP(-bdt!U34*0.5)+100*$D$5</f>
        <v>39.456328279482243</v>
      </c>
      <c r="W34">
        <f>0.5*(X33+X35)*EXP(-bdt!W34*0.5)+100*$D$5</f>
        <v>65.540793706698594</v>
      </c>
      <c r="Y34">
        <f>0.5*(Z33+Z35)*EXP(-bdt!Y34*0.5)+100*$D$5</f>
        <v>90.548012087909854</v>
      </c>
    </row>
    <row r="35" spans="1:26" x14ac:dyDescent="0.25">
      <c r="J35">
        <f>0.5*(K34+K36)*EXP(-bdt!J35*0.5)+100*$D$5</f>
        <v>8.3474612271022295</v>
      </c>
      <c r="L35">
        <f>0.5*(M34+M36)*EXP(-bdt!L35*0.5)+100*$D$5</f>
        <v>6.5641978122695877</v>
      </c>
      <c r="N35">
        <f>0.5*(O34+O36)*EXP(-bdt!N35*0.5)+100*$D$5</f>
        <v>11.285417121246221</v>
      </c>
      <c r="P35">
        <f>0.5*(Q34+Q36)*EXP(-bdt!P35*0.5)+100*$D$5</f>
        <v>22.565972160414972</v>
      </c>
      <c r="R35">
        <f>0.5*(S34+S36)*EXP(-bdt!R35*0.5)+100*$D$5</f>
        <v>30.577875724607882</v>
      </c>
      <c r="T35">
        <f>0.5*(U34+U36)*EXP(-bdt!T35*0.5)+100*$D$5</f>
        <v>40.590512464038433</v>
      </c>
      <c r="V35">
        <f>0.5*(W34+W36)*EXP(-bdt!V35*0.5)+100*$D$5</f>
        <v>63.375242244755277</v>
      </c>
      <c r="X35">
        <f>0.5*(Y34+Y36)*EXP(-bdt!X35*0.5)+100*$D$5</f>
        <v>82.446206378476134</v>
      </c>
      <c r="Z35">
        <f t="shared" ref="Z35" si="7">100*(1+$D$5)</f>
        <v>102</v>
      </c>
    </row>
    <row r="36" spans="1:26" x14ac:dyDescent="0.25">
      <c r="I36">
        <f>0.5*(J35+J37)*EXP(-bdt!I36*0.5)+100*$D$5</f>
        <v>14.605685426870174</v>
      </c>
      <c r="K36">
        <f>0.5*(L35+L37)*EXP(-bdt!K36*0.5)+100*$D$5</f>
        <v>13.619330777894421</v>
      </c>
      <c r="M36">
        <f>0.5*(N35+N37)*EXP(-bdt!M36*0.5)+100*$D$5</f>
        <v>15.5776967861184</v>
      </c>
      <c r="O36">
        <f>0.5*(P35+P37)*EXP(-bdt!O36*0.5)+100*$D$5</f>
        <v>24.405613577441571</v>
      </c>
      <c r="Q36">
        <f>0.5*(R35+R37)*EXP(-bdt!Q36*0.5)+100*$D$5</f>
        <v>33.439473538275976</v>
      </c>
      <c r="S36">
        <f>0.5*(T35+T37)*EXP(-bdt!S36*0.5)+100*$D$5</f>
        <v>44.506150791625302</v>
      </c>
      <c r="U36">
        <f>0.5*(V35+V37)*EXP(-bdt!U36*0.5)+100*$D$5</f>
        <v>60.299615404503768</v>
      </c>
      <c r="W36">
        <f>0.5*(X35+X37)*EXP(-bdt!W36*0.5)+100*$D$5</f>
        <v>80.15719762304775</v>
      </c>
      <c r="Y36">
        <f>0.5*(Z35+Z37)*EXP(-bdt!Y36*0.5)+100*$D$5</f>
        <v>95.799975602731692</v>
      </c>
    </row>
    <row r="37" spans="1:26" x14ac:dyDescent="0.25">
      <c r="H37">
        <f>0.5*(I36+I38)*EXP(-bdt!H37*0.5)+100*$D$5</f>
        <v>22.474234495877276</v>
      </c>
      <c r="J37">
        <f>0.5*(K36+K38)*EXP(-bdt!J37*0.5)+100*$D$5</f>
        <v>22.034201283760485</v>
      </c>
      <c r="L37">
        <f>0.5*(M36+M38)*EXP(-bdt!L37*0.5)+100*$D$5</f>
        <v>21.931065938032908</v>
      </c>
      <c r="N37">
        <f>0.5*(O36+O38)*EXP(-bdt!N37*0.5)+100*$D$5</f>
        <v>30.99693397891448</v>
      </c>
      <c r="P37">
        <f>0.5*(Q36+Q38)*EXP(-bdt!P37*0.5)+100*$D$5</f>
        <v>42.60530497979174</v>
      </c>
      <c r="R37">
        <f>0.5*(S36+S38)*EXP(-bdt!R37*0.5)+100*$D$5</f>
        <v>51.852888012947638</v>
      </c>
      <c r="T37">
        <f>0.5*(U36+U38)*EXP(-bdt!T37*0.5)+100*$D$5</f>
        <v>61.703469414368648</v>
      </c>
      <c r="V37">
        <f>0.5*(W36+W38)*EXP(-bdt!V37*0.5)+100*$D$5</f>
        <v>79.388348225997447</v>
      </c>
      <c r="X37">
        <f>0.5*(Y36+Y38)*EXP(-bdt!X37*0.5)+100*$D$5</f>
        <v>91.307437007208677</v>
      </c>
      <c r="Z37">
        <f t="shared" ref="Z37" si="8">100*(1+$D$5)</f>
        <v>102</v>
      </c>
    </row>
    <row r="38" spans="1:26" x14ac:dyDescent="0.25">
      <c r="G38">
        <f>0.5*(H37+H39)*EXP(-bdt!G38*0.5)+100*$D$5</f>
        <v>33.601310059428315</v>
      </c>
      <c r="I38">
        <f>0.5*(J37+J39)*EXP(-bdt!I38*0.5)+100*$D$5</f>
        <v>33.28573356286023</v>
      </c>
      <c r="K38">
        <f>0.5*(L37+L39)*EXP(-bdt!K38*0.5)+100*$D$5</f>
        <v>34.03347213604426</v>
      </c>
      <c r="M38">
        <f>0.5*(N37+N39)*EXP(-bdt!M38*0.5)+100*$D$5</f>
        <v>38.908084851341329</v>
      </c>
      <c r="O38">
        <f>0.5*(P37+P39)*EXP(-bdt!O38*0.5)+100*$D$5</f>
        <v>48.287368386586998</v>
      </c>
      <c r="Q38">
        <f>0.5*(R37+R39)*EXP(-bdt!Q38*0.5)+100*$D$5</f>
        <v>55.734056520992539</v>
      </c>
      <c r="S38">
        <f>0.5*(T37+T39)*EXP(-bdt!S38*0.5)+100*$D$5</f>
        <v>65.558598999794583</v>
      </c>
      <c r="U38">
        <f>0.5*(V37+V39)*EXP(-bdt!U38*0.5)+100*$D$5</f>
        <v>77.83977314905033</v>
      </c>
      <c r="W38">
        <f>0.5*(X37+X39)*EXP(-bdt!W38*0.5)+100*$D$5</f>
        <v>90.443118791176431</v>
      </c>
      <c r="Y38">
        <f>0.5*(Z37+Z39)*EXP(-bdt!Y38*0.5)+100*$D$5</f>
        <v>99.058047027662951</v>
      </c>
    </row>
    <row r="39" spans="1:26" x14ac:dyDescent="0.25">
      <c r="F39">
        <f>0.5*(G38+G40)*EXP(-bdt!F39*0.5)+100*$D$5</f>
        <v>45.839999322667666</v>
      </c>
      <c r="H39">
        <f>0.5*(I38+I40)*EXP(-bdt!H39*0.5)+100*$D$5</f>
        <v>45.179646365098407</v>
      </c>
      <c r="J39">
        <f>0.5*(K38+K40)*EXP(-bdt!J39*0.5)+100*$D$5</f>
        <v>46.136115730286548</v>
      </c>
      <c r="L39">
        <f>0.5*(M38+M40)*EXP(-bdt!L39*0.5)+100*$D$5</f>
        <v>48.427966988273894</v>
      </c>
      <c r="N39">
        <f>0.5*(O38+O40)*EXP(-bdt!N39*0.5)+100*$D$5</f>
        <v>57.076772456260606</v>
      </c>
      <c r="P39">
        <f>0.5*(Q38+Q40)*EXP(-bdt!P39*0.5)+100*$D$5</f>
        <v>64.884829731005567</v>
      </c>
      <c r="R39">
        <f>0.5*(S38+S40)*EXP(-bdt!R39*0.5)+100*$D$5</f>
        <v>72.424177863100454</v>
      </c>
      <c r="T39">
        <f>0.5*(U38+U40)*EXP(-bdt!T39*0.5)+100*$D$5</f>
        <v>79.501885123538059</v>
      </c>
      <c r="V39">
        <f>0.5*(W38+W40)*EXP(-bdt!V39*0.5)+100*$D$5</f>
        <v>90.774212248707173</v>
      </c>
      <c r="X39">
        <f>0.5*(Y38+Y40)*EXP(-bdt!X39*0.5)+100*$D$5</f>
        <v>97.020373236931675</v>
      </c>
      <c r="Z39">
        <f t="shared" ref="Z39" si="9">100*(1+$D$5)</f>
        <v>102</v>
      </c>
    </row>
    <row r="40" spans="1:26" x14ac:dyDescent="0.25">
      <c r="E40">
        <f>0.5*(F39+F41)*EXP(-bdt!E40*0.5)+100*$D$5</f>
        <v>59.299133536946343</v>
      </c>
      <c r="G40">
        <f>0.5*(H39+H41)*EXP(-bdt!G40*0.5)+100*$D$5</f>
        <v>58.705060798456778</v>
      </c>
      <c r="I40">
        <f>0.5*(J39+J41)*EXP(-bdt!I40*0.5)+100*$D$5</f>
        <v>59.516404832031988</v>
      </c>
      <c r="K40">
        <f>0.5*(L39+L41)*EXP(-bdt!K40*0.5)+100*$D$5</f>
        <v>61.556263266827763</v>
      </c>
      <c r="M40">
        <f>0.5*(N39+N41)*EXP(-bdt!M40*0.5)+100*$D$5</f>
        <v>66.273291437170982</v>
      </c>
      <c r="O40">
        <f>0.5*(P39+P41)*EXP(-bdt!O40*0.5)+100*$D$5</f>
        <v>72.251502405254968</v>
      </c>
      <c r="Q40">
        <f>0.5*(R39+R41)*EXP(-bdt!Q40*0.5)+100*$D$5</f>
        <v>76.511078165596288</v>
      </c>
      <c r="S40">
        <f>0.5*(T39+T41)*EXP(-bdt!S40*0.5)+100*$D$5</f>
        <v>82.964034321513822</v>
      </c>
      <c r="U40">
        <f>0.5*(V39+V41)*EXP(-bdt!U40*0.5)+100*$D$5</f>
        <v>90.539242144167957</v>
      </c>
      <c r="W40">
        <f>0.5*(X39+X41)*EXP(-bdt!W40*0.5)+100*$D$5</f>
        <v>97.197719554549039</v>
      </c>
      <c r="Y40">
        <f>0.5*(Z39+Z41)*EXP(-bdt!Y40*0.5)+100*$D$5</f>
        <v>101.0418864465486</v>
      </c>
    </row>
    <row r="41" spans="1:26" x14ac:dyDescent="0.25">
      <c r="D41">
        <f>0.5*(E40+E42)*EXP(-bdt!D41*0.5)+100*$D$5</f>
        <v>72.471256568002786</v>
      </c>
      <c r="F41">
        <f>0.5*(G40+G42)*EXP(-bdt!F41*0.5)+100*$D$5</f>
        <v>71.868307180735542</v>
      </c>
      <c r="H41">
        <f>0.5*(I40+I42)*EXP(-bdt!H41*0.5)+100*$D$5</f>
        <v>72.100839261307556</v>
      </c>
      <c r="J41">
        <f>0.5*(K40+K42)*EXP(-bdt!J41*0.5)+100*$D$5</f>
        <v>73.516011379366901</v>
      </c>
      <c r="L41">
        <f>0.5*(M40+M42)*EXP(-bdt!L41*0.5)+100*$D$5</f>
        <v>75.922901424532071</v>
      </c>
      <c r="N41">
        <f>0.5*(O40+O42)*EXP(-bdt!N41*0.5)+100*$D$5</f>
        <v>80.8498599137437</v>
      </c>
      <c r="P41">
        <f>0.5*(Q40+Q42)*EXP(-bdt!P41*0.5)+100*$D$5</f>
        <v>84.243320818720662</v>
      </c>
      <c r="R41">
        <f>0.5*(S40+S42)*EXP(-bdt!R41*0.5)+100*$D$5</f>
        <v>88.686699208678988</v>
      </c>
      <c r="T41">
        <f>0.5*(U40+U42)*EXP(-bdt!T41*0.5)+100*$D$5</f>
        <v>92.387167061387927</v>
      </c>
      <c r="V41">
        <f>0.5*(W40+W42)*EXP(-bdt!V41*0.5)+100*$D$5</f>
        <v>98.254833762352547</v>
      </c>
      <c r="X41">
        <f>0.5*(Y40+Y42)*EXP(-bdt!X41*0.5)+100*$D$5</f>
        <v>100.57964484190737</v>
      </c>
      <c r="Z41">
        <f t="shared" ref="Z41" si="10">100*(1+$D$5)</f>
        <v>102</v>
      </c>
    </row>
    <row r="42" spans="1:26" x14ac:dyDescent="0.25">
      <c r="C42">
        <f>0.5*(D41+D43)*EXP(-bdt!C42*0.5)+100*$D$5</f>
        <v>85.309526025302361</v>
      </c>
      <c r="E42">
        <f>0.5*(F41+F43)*EXP(-bdt!E42*0.5)+100*$D$5</f>
        <v>84.796372790774711</v>
      </c>
      <c r="G42">
        <f>0.5*(H41+H43)*EXP(-bdt!G42*0.5)+100*$D$5</f>
        <v>84.619628673913866</v>
      </c>
      <c r="I42">
        <f>0.5*(J41+J43)*EXP(-bdt!I42*0.5)+100*$D$5</f>
        <v>85.397210512111954</v>
      </c>
      <c r="K42">
        <f>0.5*(L41+L43)*EXP(-bdt!K42*0.5)+100*$D$5</f>
        <v>86.805805903351725</v>
      </c>
      <c r="M42">
        <f>0.5*(N41+N43)*EXP(-bdt!M42*0.5)+100*$D$5</f>
        <v>89.107350497637654</v>
      </c>
      <c r="O42">
        <f>0.5*(P41+P43)*EXP(-bdt!O42*0.5)+100*$D$5</f>
        <v>91.217835971595122</v>
      </c>
      <c r="Q42">
        <f>0.5*(R41+R43)*EXP(-bdt!Q42*0.5)+100*$D$5</f>
        <v>92.468207380539198</v>
      </c>
      <c r="S42">
        <f>0.5*(T41+T43)*EXP(-bdt!S42*0.5)+100*$D$5</f>
        <v>95.417240432197673</v>
      </c>
      <c r="U42">
        <f>0.5*(V41+V43)*EXP(-bdt!U42*0.5)+100*$D$5</f>
        <v>98.936175663343874</v>
      </c>
      <c r="W42">
        <f>0.5*(X41+X43)*EXP(-bdt!W42*0.5)+100*$D$5</f>
        <v>101.45285648342181</v>
      </c>
      <c r="Y42">
        <f>0.5*(Z41+Z43)*EXP(-bdt!Y42*0.5)+100*$D$5</f>
        <v>102.23656352914813</v>
      </c>
    </row>
    <row r="43" spans="1:26" x14ac:dyDescent="0.25">
      <c r="B43">
        <f>0.5*(C42+C44)*EXP(-bdt!B43*0.5)+100*$D$5</f>
        <v>97.347548298193118</v>
      </c>
      <c r="D43">
        <f>0.5*(E42+E44)*EXP(-bdt!D43*0.5)+100*$D$5</f>
        <v>96.424061817715938</v>
      </c>
      <c r="F43">
        <f>0.5*(G42+G44)*EXP(-bdt!F43*0.5)+100*$D$5</f>
        <v>95.925231544374256</v>
      </c>
      <c r="H43">
        <f>0.5*(I42+I44)*EXP(-bdt!H43*0.5)+100*$D$5</f>
        <v>95.895255453769366</v>
      </c>
      <c r="J43">
        <f>0.5*(K42+K44)*EXP(-bdt!J43*0.5)+100*$D$5</f>
        <v>96.322743959336748</v>
      </c>
      <c r="L43">
        <f>0.5*(M42+M44)*EXP(-bdt!L43*0.5)+100*$D$5</f>
        <v>97.0756809747338</v>
      </c>
      <c r="N43">
        <f>0.5*(O42+O44)*EXP(-bdt!N43*0.5)+100*$D$5</f>
        <v>98.327783524963877</v>
      </c>
      <c r="P43">
        <f>0.5*(Q42+Q44)*EXP(-bdt!P43*0.5)+100*$D$5</f>
        <v>98.482872595639577</v>
      </c>
      <c r="R43">
        <f>0.5*(S42+S44)*EXP(-bdt!R43*0.5)+100*$D$5</f>
        <v>99.985242511459035</v>
      </c>
      <c r="T43">
        <f>0.5*(U42+U44)*EXP(-bdt!T43*0.5)+100*$D$5</f>
        <v>100.89077235375044</v>
      </c>
      <c r="V43">
        <f>0.5*(W42+W44)*EXP(-bdt!V43*0.5)+100*$D$5</f>
        <v>102.94382716753782</v>
      </c>
      <c r="X43">
        <f>0.5*(Y42+Y44)*EXP(-bdt!X43*0.5)+100*$D$5</f>
        <v>102.75244857726832</v>
      </c>
      <c r="Z43">
        <f t="shared" ref="Z43" si="11">100*(1+$D$5)</f>
        <v>102</v>
      </c>
    </row>
    <row r="44" spans="1:26" x14ac:dyDescent="0.25">
      <c r="A44">
        <f>0.5*(B43+B45)*EXP(-bdt!A44*0.5)</f>
        <v>106.59775199782804</v>
      </c>
      <c r="C44">
        <f>0.5*(D43+D45)*EXP(-bdt!C44*0.5)+100*$D$5</f>
        <v>107.05617174552046</v>
      </c>
      <c r="E44">
        <f>0.5*(F43+F45)*EXP(-bdt!E44*0.5)+100*$D$5</f>
        <v>106.3076544995992</v>
      </c>
      <c r="G44">
        <f>0.5*(H43+H45)*EXP(-bdt!G44*0.5)+100*$D$5</f>
        <v>105.59387715952236</v>
      </c>
      <c r="I44">
        <f>0.5*(J43+J45)*EXP(-bdt!I44*0.5)+100*$D$5</f>
        <v>105.2668711113546</v>
      </c>
      <c r="K44">
        <f>0.5*(L43+L45)*EXP(-bdt!K44*0.5)+100*$D$5</f>
        <v>105.03731262366156</v>
      </c>
      <c r="M44">
        <f>0.5*(N43+N45)*EXP(-bdt!M44*0.5)+100*$D$5</f>
        <v>104.85130935746506</v>
      </c>
      <c r="O44">
        <f>0.5*(P43+P45)*EXP(-bdt!O44*0.5)+100*$D$5</f>
        <v>104.2185132255164</v>
      </c>
      <c r="Q44">
        <f>0.5*(R43+R45)*EXP(-bdt!Q44*0.5)+100*$D$5</f>
        <v>103.3087266997977</v>
      </c>
      <c r="S44">
        <f>0.5*(T43+T45)*EXP(-bdt!S44*0.5)+100*$D$5</f>
        <v>103.57142705851972</v>
      </c>
      <c r="U44">
        <f>0.5*(V43+V45)*EXP(-bdt!U44*0.5)+100*$D$5</f>
        <v>104.19730528462868</v>
      </c>
      <c r="W44">
        <f>0.5*(X43+X45)*EXP(-bdt!W44*0.5)+100*$D$5</f>
        <v>104.06773476472958</v>
      </c>
      <c r="Y44">
        <f>0.5*(Z43+Z45)*EXP(-bdt!Y44*0.5)+100*$D$5</f>
        <v>102.95130152145992</v>
      </c>
    </row>
    <row r="45" spans="1:26" x14ac:dyDescent="0.25">
      <c r="B45">
        <f>0.5*(C44+C46)*EXP(-bdt!B45*0.5)+100*$D$5</f>
        <v>116.55266298815651</v>
      </c>
      <c r="D45">
        <f>0.5*(E44+E46)*EXP(-bdt!D45*0.5)+100*$D$5</f>
        <v>115.22410503997993</v>
      </c>
      <c r="F45">
        <f>0.5*(G44+G46)*EXP(-bdt!F45*0.5)+100*$D$5</f>
        <v>114.0525752631778</v>
      </c>
      <c r="H45">
        <f>0.5*(I44+I46)*EXP(-bdt!H45*0.5)+100*$D$5</f>
        <v>112.98974248380097</v>
      </c>
      <c r="J45">
        <f>0.5*(K44+K46)*EXP(-bdt!J45*0.5)+100*$D$5</f>
        <v>111.9343443255793</v>
      </c>
      <c r="L45">
        <f>0.5*(M44+M46)*EXP(-bdt!L45*0.5)+100*$D$5</f>
        <v>110.87935125768684</v>
      </c>
      <c r="N45">
        <f>0.5*(O44+O46)*EXP(-bdt!N45*0.5)+100*$D$5</f>
        <v>109.69220304528292</v>
      </c>
      <c r="P45">
        <f>0.5*(Q44+Q46)*EXP(-bdt!P45*0.5)+100*$D$5</f>
        <v>107.90066356288311</v>
      </c>
      <c r="R45">
        <f>0.5*(S44+S46)*EXP(-bdt!R45*0.5)+100*$D$5</f>
        <v>107.23653545781094</v>
      </c>
      <c r="T45">
        <f>0.5*(U44+U46)*EXP(-bdt!T45*0.5)+100*$D$5</f>
        <v>106.20205919800162</v>
      </c>
      <c r="V45">
        <f>0.5*(W44+W46)*EXP(-bdt!V45*0.5)+100*$D$5</f>
        <v>105.80257465566164</v>
      </c>
      <c r="X45">
        <f>0.5*(Y44+Y46)*EXP(-bdt!X45*0.5)+100*$D$5</f>
        <v>104.06292098553077</v>
      </c>
      <c r="Z45">
        <f t="shared" ref="Z45" si="12">100*(1+$D$5)</f>
        <v>102</v>
      </c>
    </row>
    <row r="46" spans="1:26" x14ac:dyDescent="0.25">
      <c r="C46">
        <f>0.5*(D45+D47)*EXP(-bdt!C46*0.5)+100*$D$5</f>
        <v>123.12425278292704</v>
      </c>
      <c r="E46">
        <f>0.5*(F45+F47)*EXP(-bdt!E46*0.5)+100*$D$5</f>
        <v>121.58845757656358</v>
      </c>
      <c r="G46">
        <f>0.5*(H45+H47)*EXP(-bdt!G46*0.5)+100*$D$5</f>
        <v>119.8968819949754</v>
      </c>
      <c r="I46">
        <f>0.5*(J45+J47)*EXP(-bdt!I46*0.5)+100*$D$5</f>
        <v>118.26669285162117</v>
      </c>
      <c r="K46">
        <f>0.5*(L45+L47)*EXP(-bdt!K46*0.5)+100*$D$5</f>
        <v>116.53575545502405</v>
      </c>
      <c r="M46">
        <f>0.5*(N45+N47)*EXP(-bdt!M46*0.5)+100*$D$5</f>
        <v>114.63592782162313</v>
      </c>
      <c r="O46">
        <f>0.5*(P45+P47)*EXP(-bdt!O46*0.5)+100*$D$5</f>
        <v>112.40043356401071</v>
      </c>
      <c r="Q46">
        <f>0.5*(R45+R47)*EXP(-bdt!Q46*0.5)+100*$D$5</f>
        <v>110.14319112717338</v>
      </c>
      <c r="S46">
        <f>0.5*(T45+T47)*EXP(-bdt!S46*0.5)+100*$D$5</f>
        <v>108.63532627713403</v>
      </c>
      <c r="U46">
        <f>0.5*(V45+V47)*EXP(-bdt!U46*0.5)+100*$D$5</f>
        <v>107.39133128386391</v>
      </c>
      <c r="W46">
        <f>0.5*(X45+X47)*EXP(-bdt!W46*0.5)+100*$D$5</f>
        <v>105.65107444882537</v>
      </c>
      <c r="Y46">
        <f>0.5*(Z45+Z47)*EXP(-bdt!Y46*0.5)+100*$D$5</f>
        <v>103.37724792241126</v>
      </c>
    </row>
    <row r="47" spans="1:26" x14ac:dyDescent="0.25">
      <c r="D47">
        <f>0.5*(E46+E48)*EXP(-bdt!D47*0.5)+100*$D$5</f>
        <v>127.97320374154549</v>
      </c>
      <c r="F47">
        <f>0.5*(G46+G48)*EXP(-bdt!F47*0.5)+100*$D$5</f>
        <v>125.89329178892564</v>
      </c>
      <c r="H47">
        <f>0.5*(I46+I48)*EXP(-bdt!H47*0.5)+100*$D$5</f>
        <v>123.75445288112778</v>
      </c>
      <c r="J47">
        <f>0.5*(K46+K48)*EXP(-bdt!J47*0.5)+100*$D$5</f>
        <v>121.48842464215929</v>
      </c>
      <c r="L47">
        <f>0.5*(M46+M48)*EXP(-bdt!L47*0.5)+100*$D$5</f>
        <v>119.15007921189704</v>
      </c>
      <c r="N47">
        <f>0.5*(O46+O48)*EXP(-bdt!N47*0.5)+100*$D$5</f>
        <v>116.58838822885312</v>
      </c>
      <c r="P47">
        <f>0.5*(Q46+Q48)*EXP(-bdt!P47*0.5)+100*$D$5</f>
        <v>113.73626536572881</v>
      </c>
      <c r="R47">
        <f>0.5*(S46+S48)*EXP(-bdt!R47*0.5)+100*$D$5</f>
        <v>111.67412866095707</v>
      </c>
      <c r="T47">
        <f>0.5*(U46+U48)*EXP(-bdt!T47*0.5)+100*$D$5</f>
        <v>109.41411255779649</v>
      </c>
      <c r="V47">
        <f>0.5*(W46+W48)*EXP(-bdt!V47*0.5)+100*$D$5</f>
        <v>107.51742131562526</v>
      </c>
      <c r="X47">
        <f>0.5*(Y46+Y48)*EXP(-bdt!X47*0.5)+100*$D$5</f>
        <v>104.84764826382232</v>
      </c>
      <c r="Z47">
        <f t="shared" ref="Z47" si="13">100*(1+$D$5)</f>
        <v>102</v>
      </c>
    </row>
    <row r="48" spans="1:26" x14ac:dyDescent="0.25">
      <c r="E48">
        <f>0.5*(F47+F49)*EXP(-bdt!E48*0.5)+100*$D$5</f>
        <v>131.22131710232509</v>
      </c>
      <c r="G48">
        <f>0.5*(H47+H49)*EXP(-bdt!G48*0.5)+100*$D$5</f>
        <v>128.64391657766851</v>
      </c>
      <c r="I48">
        <f>0.5*(J47+J49)*EXP(-bdt!I48*0.5)+100*$D$5</f>
        <v>126.02393683123015</v>
      </c>
      <c r="K48">
        <f>0.5*(L47+L49)*EXP(-bdt!K48*0.5)+100*$D$5</f>
        <v>123.29037126429581</v>
      </c>
      <c r="M48">
        <f>0.5*(N47+N49)*EXP(-bdt!M48*0.5)+100*$D$5</f>
        <v>120.40421264628209</v>
      </c>
      <c r="O48">
        <f>0.5*(P47+P49)*EXP(-bdt!O48*0.5)+100*$D$5</f>
        <v>117.29933462445568</v>
      </c>
      <c r="Q48">
        <f>0.5*(R47+R49)*EXP(-bdt!Q48*0.5)+100*$D$5</f>
        <v>114.26240423522626</v>
      </c>
      <c r="S48">
        <f>0.5*(T47+T49)*EXP(-bdt!S48*0.5)+100*$D$5</f>
        <v>111.68085178715758</v>
      </c>
      <c r="U48">
        <f>0.5*(V47+V49)*EXP(-bdt!U48*0.5)+100*$D$5</f>
        <v>109.29525076442235</v>
      </c>
      <c r="W48">
        <f>0.5*(X47+X49)*EXP(-bdt!W48*0.5)+100*$D$5</f>
        <v>106.60142678107535</v>
      </c>
      <c r="Y48">
        <f>0.5*(Z47+Z49)*EXP(-bdt!Y48*0.5)+100*$D$5</f>
        <v>103.6305054367641</v>
      </c>
    </row>
    <row r="49" spans="6:26" x14ac:dyDescent="0.25">
      <c r="F49">
        <f>0.5*(G48+G50)*EXP(-bdt!F49*0.5)+100*$D$5</f>
        <v>132.95869549079688</v>
      </c>
      <c r="H49">
        <f>0.5*(I48+I50)*EXP(-bdt!H49*0.5)+100*$D$5</f>
        <v>130.03626341561147</v>
      </c>
      <c r="J49">
        <f>0.5*(K48+K50)*EXP(-bdt!J49*0.5)+100*$D$5</f>
        <v>126.99484999247503</v>
      </c>
      <c r="L49">
        <f>0.5*(M48+M50)*EXP(-bdt!L49*0.5)+100*$D$5</f>
        <v>123.89616608321643</v>
      </c>
      <c r="N49">
        <f>0.5*(O48+O50)*EXP(-bdt!N49*0.5)+100*$D$5</f>
        <v>120.64237844144556</v>
      </c>
      <c r="P49">
        <f>0.5*(Q48+Q50)*EXP(-bdt!P49*0.5)+100*$D$5</f>
        <v>117.21024413847583</v>
      </c>
      <c r="R49">
        <f>0.5*(S48+S50)*EXP(-bdt!R49*0.5)+100*$D$5</f>
        <v>114.30878769751983</v>
      </c>
      <c r="T49">
        <f>0.5*(U48+U50)*EXP(-bdt!T49*0.5)+100*$D$5</f>
        <v>111.31458667928305</v>
      </c>
      <c r="V49">
        <f>0.5*(W48+W50)*EXP(-bdt!V49*0.5)+100*$D$5</f>
        <v>108.53645223188003</v>
      </c>
      <c r="X49">
        <f>0.5*(Y48+Y50)*EXP(-bdt!X49*0.5)+100*$D$5</f>
        <v>105.31555717600962</v>
      </c>
      <c r="Z49">
        <f t="shared" ref="Z49" si="14">100*(1+$D$5)</f>
        <v>102</v>
      </c>
    </row>
    <row r="50" spans="6:26" x14ac:dyDescent="0.25">
      <c r="G50">
        <f>0.5*(H49+H51)*EXP(-bdt!G50*0.5)+100*$D$5</f>
        <v>133.66625922211733</v>
      </c>
      <c r="I50">
        <f>0.5*(J49+J51)*EXP(-bdt!I50*0.5)+100*$D$5</f>
        <v>130.4259215491887</v>
      </c>
      <c r="K50">
        <f>0.5*(L49+L51)*EXP(-bdt!K50*0.5)+100*$D$5</f>
        <v>127.10708196395395</v>
      </c>
      <c r="M50">
        <f>0.5*(N49+N51)*EXP(-bdt!M50*0.5)+100*$D$5</f>
        <v>123.69490582754993</v>
      </c>
      <c r="O50">
        <f>0.5*(P49+P51)*EXP(-bdt!O50*0.5)+100*$D$5</f>
        <v>120.20123450362954</v>
      </c>
      <c r="Q50">
        <f>0.5*(R49+R51)*EXP(-bdt!Q50*0.5)+100*$D$5</f>
        <v>116.67396305999667</v>
      </c>
      <c r="S50">
        <f>0.5*(T49+T51)*EXP(-bdt!S50*0.5)+100*$D$5</f>
        <v>113.46817660845515</v>
      </c>
      <c r="U50">
        <f>0.5*(V49+V51)*EXP(-bdt!U50*0.5)+100*$D$5</f>
        <v>110.40609052217353</v>
      </c>
      <c r="W50">
        <f>0.5*(X49+X51)*EXP(-bdt!W50*0.5)+100*$D$5</f>
        <v>107.16888323466371</v>
      </c>
      <c r="Y50">
        <f>0.5*(Z49+Z51)*EXP(-bdt!Y50*0.5)+100*$D$5</f>
        <v>103.78088078098766</v>
      </c>
    </row>
    <row r="51" spans="6:26" x14ac:dyDescent="0.25">
      <c r="H51">
        <f>0.5*(I50+I52)*EXP(-bdt!H51*0.5)+100*$D$5</f>
        <v>133.55391454165218</v>
      </c>
      <c r="J51">
        <f>0.5*(K50+K52)*EXP(-bdt!J51*0.5)+100*$D$5</f>
        <v>130.06402117742456</v>
      </c>
      <c r="L51">
        <f>0.5*(M50+M52)*EXP(-bdt!L51*0.5)+100*$D$5</f>
        <v>126.53846852043057</v>
      </c>
      <c r="N51">
        <f>0.5*(O50+O52)*EXP(-bdt!N51*0.5)+100*$D$5</f>
        <v>122.92046099083898</v>
      </c>
      <c r="P51">
        <f>0.5*(Q50+Q52)*EXP(-bdt!P51*0.5)+100*$D$5</f>
        <v>119.20187731722326</v>
      </c>
      <c r="R51">
        <f>0.5*(S50+S52)*EXP(-bdt!R51*0.5)+100*$D$5</f>
        <v>115.83736750762623</v>
      </c>
      <c r="T51">
        <f>0.5*(U50+U52)*EXP(-bdt!T51*0.5)+100*$D$5</f>
        <v>112.40977332410614</v>
      </c>
      <c r="V51">
        <f>0.5*(W50+W52)*EXP(-bdt!V51*0.5)+100*$D$5</f>
        <v>109.11425320086737</v>
      </c>
      <c r="X51">
        <f>0.5*(Y50+Y52)*EXP(-bdt!X51*0.5)+100*$D$5</f>
        <v>105.59385389150697</v>
      </c>
      <c r="Z51">
        <f t="shared" ref="Z51" si="15">100*(1+$D$5)</f>
        <v>102</v>
      </c>
    </row>
    <row r="52" spans="6:26" x14ac:dyDescent="0.25">
      <c r="I52">
        <f>0.5*(J51+J53)*EXP(-bdt!I52*0.5)+100*$D$5</f>
        <v>132.85994811042971</v>
      </c>
      <c r="K52">
        <f>0.5*(L51+L53)*EXP(-bdt!K52*0.5)+100*$D$5</f>
        <v>129.21280043118821</v>
      </c>
      <c r="M52">
        <f>0.5*(N51+N53)*EXP(-bdt!M52*0.5)+100*$D$5</f>
        <v>125.50698930253841</v>
      </c>
      <c r="O52">
        <f>0.5*(P51+P53)*EXP(-bdt!O52*0.5)+100*$D$5</f>
        <v>121.72738695787403</v>
      </c>
      <c r="Q52">
        <f>0.5*(R51+R53)*EXP(-bdt!Q52*0.5)+100*$D$5</f>
        <v>118.01132169402111</v>
      </c>
      <c r="S52">
        <f>0.5*(T51+T53)*EXP(-bdt!S52*0.5)+100*$D$5</f>
        <v>114.4955311364005</v>
      </c>
      <c r="U52">
        <f>0.5*(V51+V53)*EXP(-bdt!U52*0.5)+100*$D$5</f>
        <v>111.02786691661728</v>
      </c>
      <c r="W52">
        <f>0.5*(X51+X53)*EXP(-bdt!W52*0.5)+100*$D$5</f>
        <v>107.45759624553082</v>
      </c>
      <c r="Y52">
        <f>0.5*(Z51+Z53)*EXP(-bdt!Y52*0.5)+100*$D$5</f>
        <v>103.87009610103024</v>
      </c>
    </row>
    <row r="53" spans="6:26" x14ac:dyDescent="0.25">
      <c r="J53">
        <f>0.5*(K52+K54)*EXP(-bdt!J53*0.5)+100*$D$5</f>
        <v>131.75276690081182</v>
      </c>
      <c r="L53">
        <f>0.5*(M52+M54)*EXP(-bdt!L53*0.5)+100*$D$5</f>
        <v>127.99009848610693</v>
      </c>
      <c r="N53">
        <f>0.5*(O52+O54)*EXP(-bdt!N53*0.5)+100*$D$5</f>
        <v>124.16353756476063</v>
      </c>
      <c r="P53">
        <f>0.5*(Q52+Q54)*EXP(-bdt!P53*0.5)+100*$D$5</f>
        <v>120.31031212023044</v>
      </c>
      <c r="R53">
        <f>0.5*(S52+S54)*EXP(-bdt!R53*0.5)+100*$D$5</f>
        <v>116.61836030265495</v>
      </c>
      <c r="T53">
        <f>0.5*(U52+U54)*EXP(-bdt!T53*0.5)+100*$D$5</f>
        <v>113.03263451391571</v>
      </c>
      <c r="V53">
        <f>0.5*(W52+W54)*EXP(-bdt!V53*0.5)+100*$D$5</f>
        <v>109.42007010003708</v>
      </c>
      <c r="X53">
        <f>0.5*(Y52+Y54)*EXP(-bdt!X53*0.5)+100*$D$5</f>
        <v>105.66082939939649</v>
      </c>
      <c r="Z53">
        <f t="shared" ref="Z53" si="16">100*(1+$D$5)</f>
        <v>102</v>
      </c>
    </row>
    <row r="54" spans="6:26" x14ac:dyDescent="0.25">
      <c r="K54">
        <f>0.5*(L53+L55)*EXP(-bdt!K54*0.5)+100*$D$5</f>
        <v>130.38201025382227</v>
      </c>
      <c r="M54">
        <f>0.5*(N53+N55)*EXP(-bdt!M54*0.5)+100*$D$5</f>
        <v>126.52361699865223</v>
      </c>
      <c r="O54">
        <f>0.5*(P53+P55)*EXP(-bdt!O54*0.5)+100*$D$5</f>
        <v>122.63502041107722</v>
      </c>
      <c r="Q54">
        <f>0.5*(R53+R55)*EXP(-bdt!Q54*0.5)+100*$D$5</f>
        <v>118.76179582191033</v>
      </c>
      <c r="S54">
        <f>0.5*(T53+T55)*EXP(-bdt!S54*0.5)+100*$D$5</f>
        <v>114.89730901694912</v>
      </c>
      <c r="U54">
        <f>0.5*(V53+V55)*EXP(-bdt!U54*0.5)+100*$D$5</f>
        <v>111.38812738096988</v>
      </c>
      <c r="W54">
        <f>0.5*(X53+X55)*EXP(-bdt!W54*0.5)+100*$D$5</f>
        <v>107.60913547478442</v>
      </c>
      <c r="Y54">
        <f>0.5*(Z53+Z55)*EXP(-bdt!Y54*0.5)+100*$D$5</f>
        <v>103.72614282114503</v>
      </c>
    </row>
    <row r="55" spans="6:26" x14ac:dyDescent="0.25">
      <c r="L55">
        <f>0.5*(M54+M56)*EXP(-bdt!L55*0.5)+100*$D$5</f>
        <v>128.82165498587906</v>
      </c>
      <c r="N55">
        <f>0.5*(O54+O56)*EXP(-bdt!N55*0.5)+100*$D$5</f>
        <v>124.91184942765646</v>
      </c>
      <c r="P55">
        <f>0.5*(Q54+Q56)*EXP(-bdt!P55*0.5)+100*$D$5</f>
        <v>120.98279919845497</v>
      </c>
      <c r="R55">
        <f>0.5*(S54+S56)*EXP(-bdt!R55*0.5)+100*$D$5</f>
        <v>117.13908514774896</v>
      </c>
      <c r="T55">
        <f>0.5*(U54+U56)*EXP(-bdt!T55*0.5)+100*$D$5</f>
        <v>113.41271081027676</v>
      </c>
      <c r="V55">
        <f>0.5*(W54+W56)*EXP(-bdt!V55*0.5)+100*$D$5</f>
        <v>109.62877847080244</v>
      </c>
      <c r="X55">
        <f>0.5*(Y54+Y56)*EXP(-bdt!X55*0.5)+100*$D$5</f>
        <v>105.7588421727804</v>
      </c>
      <c r="Z55">
        <f t="shared" ref="Z55" si="17">100*(1+$D$5)</f>
        <v>102</v>
      </c>
    </row>
    <row r="56" spans="6:26" x14ac:dyDescent="0.25">
      <c r="M56">
        <f>0.5*(N55+N57)*EXP(-bdt!M56*0.5)+100*$D$5</f>
        <v>127.13992879876186</v>
      </c>
      <c r="O56">
        <f>0.5*(P55+P57)*EXP(-bdt!O56*0.5)+100*$D$5</f>
        <v>123.20285543691374</v>
      </c>
      <c r="Q56">
        <f>0.5*(R55+R57)*EXP(-bdt!Q56*0.5)+100*$D$5</f>
        <v>119.28610374768861</v>
      </c>
      <c r="S56">
        <f>0.5*(T55+T57)*EXP(-bdt!S56*0.5)+100*$D$5</f>
        <v>115.4650232837289</v>
      </c>
      <c r="U56">
        <f>0.5*(V55+V57)*EXP(-bdt!U56*0.5)+100*$D$5</f>
        <v>111.63710962799082</v>
      </c>
      <c r="W56">
        <f>0.5*(X55+X57)*EXP(-bdt!W56*0.5)+100*$D$5</f>
        <v>107.77733950164655</v>
      </c>
      <c r="Y56">
        <f>0.5*(Z55+Z57)*EXP(-bdt!Y56*0.5)+100*$D$5</f>
        <v>103.95436429746456</v>
      </c>
    </row>
    <row r="57" spans="6:26" x14ac:dyDescent="0.25">
      <c r="N57">
        <f>0.5*(O56+O58)*EXP(-bdt!N57*0.5)+100*$D$5</f>
        <v>125.37929140501912</v>
      </c>
      <c r="P57">
        <f>0.5*(Q56+Q58)*EXP(-bdt!P57*0.5)+100*$D$5</f>
        <v>121.43215573920557</v>
      </c>
      <c r="R57">
        <f>0.5*(S56+S58)*EXP(-bdt!R57*0.5)+100*$D$5</f>
        <v>117.55917403535888</v>
      </c>
      <c r="T57">
        <f>0.5*(U56+U58)*EXP(-bdt!T57*0.5)+100*$D$5</f>
        <v>113.66409082084381</v>
      </c>
      <c r="V57">
        <f>0.5*(W56+W58)*EXP(-bdt!V57*0.5)+100*$D$5</f>
        <v>109.80057673731238</v>
      </c>
      <c r="X57">
        <f>0.5*(Y56+Y58)*EXP(-bdt!X57*0.5)+100*$D$5</f>
        <v>105.91535092615129</v>
      </c>
      <c r="Z57">
        <f t="shared" ref="Z57" si="18">100*(1+$D$5)</f>
        <v>102</v>
      </c>
    </row>
    <row r="58" spans="6:26" x14ac:dyDescent="0.25">
      <c r="O58">
        <f>0.5*(P57+P59)*EXP(-bdt!O58*0.5)+100*$D$5</f>
        <v>123.56140288163111</v>
      </c>
      <c r="Q58">
        <f>0.5*(R57+R59)*EXP(-bdt!Q58*0.5)+100*$D$5</f>
        <v>119.62254479052696</v>
      </c>
      <c r="S58">
        <f>0.5*(T57+T59)*EXP(-bdt!S58*0.5)+100*$D$5</f>
        <v>115.69865833043715</v>
      </c>
      <c r="U58">
        <f>0.5*(V57+V59)*EXP(-bdt!U58*0.5)+100*$D$5</f>
        <v>111.80479532181808</v>
      </c>
      <c r="W58">
        <f>0.5*(X57+X59)*EXP(-bdt!W58*0.5)+100*$D$5</f>
        <v>107.89714303459532</v>
      </c>
      <c r="Y58">
        <f>0.5*(Z57+Z59)*EXP(-bdt!Y58*0.5)+100*$D$5</f>
        <v>103.97295444844994</v>
      </c>
    </row>
    <row r="59" spans="6:26" x14ac:dyDescent="0.25">
      <c r="P59">
        <f>0.5*(Q58+Q60)*EXP(-bdt!P59*0.5)+100*$D$5</f>
        <v>121.69434762327481</v>
      </c>
      <c r="R59">
        <f>0.5*(S58+S60)*EXP(-bdt!R59*0.5)+100*$D$5</f>
        <v>117.75375740779403</v>
      </c>
      <c r="T59">
        <f>0.5*(U58+U60)*EXP(-bdt!T59*0.5)+100*$D$5</f>
        <v>113.81673839901809</v>
      </c>
      <c r="V59">
        <f>0.5*(W58+W60)*EXP(-bdt!V59*0.5)+100*$D$5</f>
        <v>109.89724786083728</v>
      </c>
      <c r="X59">
        <f>0.5*(Y58+Y60)*EXP(-bdt!X59*0.5)+100*$D$5</f>
        <v>105.9498295968463</v>
      </c>
      <c r="Z59">
        <f t="shared" ref="Z59" si="19">100*(1+$D$5)</f>
        <v>102</v>
      </c>
    </row>
    <row r="60" spans="6:26" x14ac:dyDescent="0.25">
      <c r="Q60">
        <f>0.5*(R59+R61)*EXP(-bdt!Q60*0.5)+100*$D$5</f>
        <v>119.78999885086316</v>
      </c>
      <c r="S60">
        <f>0.5*(T59+T61)*EXP(-bdt!S60*0.5)+100*$D$5</f>
        <v>115.83322838042135</v>
      </c>
      <c r="U60">
        <f>0.5*(V59+V61)*EXP(-bdt!U60*0.5)+100*$D$5</f>
        <v>111.89335415734409</v>
      </c>
      <c r="W60">
        <f>0.5*(X59+X61)*EXP(-bdt!W60*0.5)+100*$D$5</f>
        <v>107.93903573401757</v>
      </c>
      <c r="Y60">
        <f>0.5*(Z59+Z61)*EXP(-bdt!Y60*0.5)+100*$D$5</f>
        <v>103.98397231433934</v>
      </c>
    </row>
    <row r="61" spans="6:26" x14ac:dyDescent="0.25">
      <c r="R61">
        <f>0.5*(S60+S62)*EXP(-bdt!R61*0.5)+100*$D$5</f>
        <v>117.86270273396954</v>
      </c>
      <c r="T61">
        <f>0.5*(U60+U62)*EXP(-bdt!T61*0.5)+100*$D$5</f>
        <v>113.89720343081719</v>
      </c>
      <c r="V61">
        <f>0.5*(W60+W62)*EXP(-bdt!V61*0.5)+100*$D$5</f>
        <v>109.93961081849612</v>
      </c>
      <c r="X61">
        <f>0.5*(Y60+Y62)*EXP(-bdt!X61*0.5)+100*$D$5</f>
        <v>105.97026669671607</v>
      </c>
      <c r="Z61">
        <f t="shared" ref="Z61" si="20">100*(1+$D$5)</f>
        <v>102</v>
      </c>
    </row>
    <row r="62" spans="6:26" x14ac:dyDescent="0.25">
      <c r="S62">
        <f>0.5*(T61+T63)*EXP(-bdt!S62*0.5)+100*$D$5</f>
        <v>115.90527029259137</v>
      </c>
      <c r="U62">
        <f>0.5*(V61+V63)*EXP(-bdt!U62*0.5)+100*$D$5</f>
        <v>111.93780902308497</v>
      </c>
      <c r="W62">
        <f>0.5*(X61+X63)*EXP(-bdt!W62*0.5)+100*$D$5</f>
        <v>107.9638689604357</v>
      </c>
      <c r="Y62">
        <f>0.5*(Z61+Z63)*EXP(-bdt!Y62*0.5)+100*$D$5</f>
        <v>103.99050191105206</v>
      </c>
    </row>
    <row r="63" spans="6:26" x14ac:dyDescent="0.25">
      <c r="T63">
        <f>0.5*(U62+U64)*EXP(-bdt!T63*0.5)+100*$D$5</f>
        <v>113.94032314042134</v>
      </c>
      <c r="V63">
        <f>0.5*(W62+W64)*EXP(-bdt!V63*0.5)+100*$D$5</f>
        <v>109.96450128242967</v>
      </c>
      <c r="X63">
        <f>0.5*(Y62+Y64)*EXP(-bdt!X63*0.5)+100*$D$5</f>
        <v>105.98237938492312</v>
      </c>
      <c r="Z63">
        <f t="shared" ref="Z63" si="21">100*(1+$D$5)</f>
        <v>102</v>
      </c>
    </row>
    <row r="64" spans="6:26" x14ac:dyDescent="0.25">
      <c r="U64">
        <f>0.5*(V63+V65)*EXP(-bdt!U64*0.5)+100*$D$5</f>
        <v>111.96372107021465</v>
      </c>
      <c r="W64">
        <f>0.5*(X63+X65)*EXP(-bdt!W64*0.5)+100*$D$5</f>
        <v>107.97858767070524</v>
      </c>
      <c r="Y64">
        <f>0.5*(Z63+Z65)*EXP(-bdt!Y64*0.5)+100*$D$5</f>
        <v>103.99437145704958</v>
      </c>
    </row>
    <row r="65" spans="22:26" x14ac:dyDescent="0.25">
      <c r="V65">
        <f>0.5*(W64+W66)*EXP(-bdt!V65*0.5)+100*$D$5</f>
        <v>109.97912800694736</v>
      </c>
      <c r="X65">
        <f>0.5*(Y64+Y66)*EXP(-bdt!X65*0.5)+100*$D$5</f>
        <v>105.98955788436869</v>
      </c>
      <c r="Z65">
        <f t="shared" ref="Z65" si="22">100*(1+$D$5)</f>
        <v>102</v>
      </c>
    </row>
    <row r="66" spans="22:26" x14ac:dyDescent="0.25">
      <c r="W66">
        <f>0.5*(X65+X67)*EXP(-bdt!W66*0.5)+100*$D$5</f>
        <v>107.98731079134502</v>
      </c>
      <c r="Y66">
        <f>0.5*(Z65+Z67)*EXP(-bdt!Y66*0.5)+100*$D$5</f>
        <v>103.9966645657795</v>
      </c>
    </row>
    <row r="67" spans="22:26" x14ac:dyDescent="0.25">
      <c r="X67">
        <f>0.5*(Y66+Y68)*EXP(-bdt!X67*0.5)+100*$D$5</f>
        <v>105.99381200822366</v>
      </c>
      <c r="Z67">
        <f t="shared" ref="Z67" si="23">100*(1+$D$5)</f>
        <v>102</v>
      </c>
    </row>
    <row r="68" spans="22:26" x14ac:dyDescent="0.25">
      <c r="Y68">
        <f>0.5*(Z67+Z69)*EXP(-bdt!Y68*0.5)+100*$D$5</f>
        <v>103.99802345463348</v>
      </c>
    </row>
    <row r="69" spans="22:26" x14ac:dyDescent="0.25">
      <c r="Z69">
        <f t="shared" ref="Z69" si="24">100*(1+$D$5)</f>
        <v>102</v>
      </c>
    </row>
  </sheetData>
  <phoneticPr fontId="1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D49"/>
  <sheetViews>
    <sheetView workbookViewId="0">
      <selection activeCell="A43" sqref="A43:B49"/>
    </sheetView>
  </sheetViews>
  <sheetFormatPr defaultColWidth="8.85546875" defaultRowHeight="15" x14ac:dyDescent="0.25"/>
  <cols>
    <col min="1" max="1" width="10.7109375" customWidth="1"/>
  </cols>
  <sheetData>
    <row r="1" spans="1:4" x14ac:dyDescent="0.25">
      <c r="A1" t="s">
        <v>59</v>
      </c>
    </row>
    <row r="3" spans="1:4" x14ac:dyDescent="0.25">
      <c r="A3" t="s">
        <v>60</v>
      </c>
      <c r="D3" t="s">
        <v>63</v>
      </c>
    </row>
    <row r="4" spans="1:4" x14ac:dyDescent="0.25">
      <c r="A4" t="s">
        <v>61</v>
      </c>
      <c r="B4" t="s">
        <v>62</v>
      </c>
    </row>
    <row r="5" spans="1:4" x14ac:dyDescent="0.25">
      <c r="A5">
        <v>6.524656134838084</v>
      </c>
      <c r="B5">
        <v>2.100446784110519</v>
      </c>
      <c r="D5">
        <v>2.100446784110519</v>
      </c>
    </row>
    <row r="6" spans="1:4" x14ac:dyDescent="0.25">
      <c r="A6">
        <f>(A5^15*A21)^(1/16)</f>
        <v>3.5020049686149943</v>
      </c>
      <c r="B6">
        <v>2.7616208140230638</v>
      </c>
      <c r="D6">
        <v>2.7616208140230638</v>
      </c>
    </row>
    <row r="7" spans="1:4" x14ac:dyDescent="0.25">
      <c r="A7">
        <f>(A5^14*A21^2)^(1/16)</f>
        <v>1.8796452329067377</v>
      </c>
      <c r="B7">
        <v>5.9048550096160923</v>
      </c>
      <c r="D7">
        <v>5.9048550096160923</v>
      </c>
    </row>
    <row r="8" spans="1:4" x14ac:dyDescent="0.25">
      <c r="A8">
        <f>(A5^13*A21^3)^(1/16)</f>
        <v>1.0088695570829858</v>
      </c>
      <c r="B8">
        <v>15.523210485099675</v>
      </c>
      <c r="D8">
        <v>15.522947672449758</v>
      </c>
    </row>
    <row r="9" spans="1:4" x14ac:dyDescent="0.25">
      <c r="A9">
        <f>(A5^12*A21^4)^(1/16)</f>
        <v>0.54149462110721658</v>
      </c>
      <c r="B9">
        <v>33.439473538275976</v>
      </c>
      <c r="D9">
        <v>33.433638568172185</v>
      </c>
    </row>
    <row r="10" spans="1:4" x14ac:dyDescent="0.25">
      <c r="A10">
        <f>(A5^11*A21^5)^(1/16)</f>
        <v>0.2906385891312302</v>
      </c>
      <c r="B10">
        <v>55.734056520992539</v>
      </c>
      <c r="D10">
        <v>55.677921446395231</v>
      </c>
    </row>
    <row r="11" spans="1:4" x14ac:dyDescent="0.25">
      <c r="A11">
        <f>(A5^10*A21^6)^(1/16)</f>
        <v>0.15599562063879988</v>
      </c>
      <c r="B11">
        <v>76.511078165596288</v>
      </c>
      <c r="D11">
        <v>76.199826002972358</v>
      </c>
    </row>
    <row r="12" spans="1:4" x14ac:dyDescent="0.25">
      <c r="A12">
        <f>(A5^9*A21^7)^(1/16)</f>
        <v>8.3728157816981078E-2</v>
      </c>
      <c r="B12">
        <v>92.468207380539198</v>
      </c>
      <c r="D12">
        <v>91.315447834807273</v>
      </c>
    </row>
    <row r="13" spans="1:4" x14ac:dyDescent="0.25">
      <c r="A13">
        <f>(A5^8*A21^8)^(1/16)</f>
        <v>4.4939751402749535E-2</v>
      </c>
      <c r="B13">
        <v>103.3087266997977</v>
      </c>
      <c r="D13">
        <v>99.845905745921641</v>
      </c>
    </row>
    <row r="14" spans="1:4" x14ac:dyDescent="0.25">
      <c r="A14">
        <f>(A5^7*A21^9)^(1/16)</f>
        <v>2.4120693788050027E-2</v>
      </c>
      <c r="B14">
        <v>110.14319112717338</v>
      </c>
      <c r="D14">
        <v>102</v>
      </c>
    </row>
    <row r="15" spans="1:4" x14ac:dyDescent="0.25">
      <c r="A15">
        <f>(A5^6*A21^10)^(1/16)</f>
        <v>1.294639713519374E-2</v>
      </c>
      <c r="B15">
        <v>114.26240423522626</v>
      </c>
      <c r="D15">
        <v>102</v>
      </c>
    </row>
    <row r="16" spans="1:4" x14ac:dyDescent="0.25">
      <c r="A16">
        <f>(A5^5*A21^11)^(1/16)</f>
        <v>6.9487718825563078E-3</v>
      </c>
      <c r="B16">
        <v>116.67396305999667</v>
      </c>
      <c r="D16">
        <v>102</v>
      </c>
    </row>
    <row r="17" spans="1:4" x14ac:dyDescent="0.25">
      <c r="A17">
        <f>(A5^4*A21^12)^(1/16)</f>
        <v>3.7296423222291757E-3</v>
      </c>
      <c r="B17">
        <v>118.01132169402111</v>
      </c>
      <c r="D17">
        <v>102</v>
      </c>
    </row>
    <row r="18" spans="1:4" x14ac:dyDescent="0.25">
      <c r="A18">
        <f>(A5^3*A21^13)^(1/16)</f>
        <v>2.0018259466370292E-3</v>
      </c>
      <c r="B18">
        <v>118.76179582191033</v>
      </c>
      <c r="D18">
        <v>102</v>
      </c>
    </row>
    <row r="19" spans="1:4" x14ac:dyDescent="0.25">
      <c r="A19">
        <f>(A5^2*A21^14)^(1/16)</f>
        <v>1.0744481037082668E-3</v>
      </c>
      <c r="B19">
        <v>119.28610374768861</v>
      </c>
      <c r="D19">
        <v>102</v>
      </c>
    </row>
    <row r="20" spans="1:4" x14ac:dyDescent="0.25">
      <c r="A20">
        <f>(A5*A21^15)^(1/16)</f>
        <v>5.7669285858827617E-4</v>
      </c>
      <c r="B20">
        <v>119.62254479052696</v>
      </c>
      <c r="D20">
        <v>102</v>
      </c>
    </row>
    <row r="21" spans="1:4" x14ac:dyDescent="0.25">
      <c r="A21">
        <v>3.0953068091320123E-4</v>
      </c>
      <c r="B21">
        <v>119.78999885086316</v>
      </c>
      <c r="D21">
        <v>102</v>
      </c>
    </row>
    <row r="43" spans="1:2" x14ac:dyDescent="0.25">
      <c r="A43">
        <v>0.2906385891312302</v>
      </c>
      <c r="B43">
        <v>55.677921446395231</v>
      </c>
    </row>
    <row r="44" spans="1:2" x14ac:dyDescent="0.25">
      <c r="A44">
        <v>0.15599562063879988</v>
      </c>
      <c r="B44">
        <v>76.199826002972358</v>
      </c>
    </row>
    <row r="45" spans="1:2" x14ac:dyDescent="0.25">
      <c r="A45">
        <v>8.3728157816981078E-2</v>
      </c>
      <c r="B45">
        <v>91.315447834807273</v>
      </c>
    </row>
    <row r="46" spans="1:2" x14ac:dyDescent="0.25">
      <c r="A46">
        <v>4.4939751402749535E-2</v>
      </c>
      <c r="B46">
        <v>99.845905745921641</v>
      </c>
    </row>
    <row r="47" spans="1:2" x14ac:dyDescent="0.25">
      <c r="A47">
        <v>2.4120693788050027E-2</v>
      </c>
      <c r="B47">
        <v>102</v>
      </c>
    </row>
    <row r="48" spans="1:2" x14ac:dyDescent="0.25">
      <c r="A48">
        <v>1.294639713519374E-2</v>
      </c>
      <c r="B48">
        <v>102</v>
      </c>
    </row>
    <row r="49" spans="1:2" x14ac:dyDescent="0.25">
      <c r="A49">
        <v>6.9487718825563078E-3</v>
      </c>
      <c r="B49">
        <v>102</v>
      </c>
    </row>
  </sheetData>
  <pageMargins left="0.7" right="0.7" top="0.75" bottom="0.75" header="0.3" footer="0.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codeName="Sheet4" enableFormatConditionsCalculation="0"/>
  <dimension ref="A1:J57"/>
  <sheetViews>
    <sheetView topLeftCell="A28" workbookViewId="0">
      <selection activeCell="E58" sqref="E58"/>
    </sheetView>
  </sheetViews>
  <sheetFormatPr defaultColWidth="8.85546875" defaultRowHeight="15" x14ac:dyDescent="0.25"/>
  <sheetData>
    <row r="1" spans="1:3" x14ac:dyDescent="0.25">
      <c r="A1" t="s">
        <v>48</v>
      </c>
      <c r="C1">
        <v>2.1528111781907923E-2</v>
      </c>
    </row>
    <row r="2" spans="1:3" x14ac:dyDescent="0.25">
      <c r="A2" t="s">
        <v>49</v>
      </c>
    </row>
    <row r="3" spans="1:3" x14ac:dyDescent="0.25">
      <c r="A3" t="s">
        <v>50</v>
      </c>
      <c r="C3">
        <v>10000000</v>
      </c>
    </row>
    <row r="35" spans="1:10" x14ac:dyDescent="0.25">
      <c r="J35">
        <f>((bdt!J35-$C$1)*$C$3*0.5)*EXP(-bdt!J35*0.5)</f>
        <v>2513553.6025752584</v>
      </c>
    </row>
    <row r="36" spans="1:10" x14ac:dyDescent="0.25">
      <c r="I36">
        <f>(0.5*(J35+J37)+(bdt!I36-$C$1)*$C$3*0.5)*EXP(-bdt!I36*0.5)</f>
        <v>3068794.2272540601</v>
      </c>
    </row>
    <row r="37" spans="1:10" x14ac:dyDescent="0.25">
      <c r="H37">
        <f>(0.5*(I36+I38)+(bdt!H37-$C$1)*$C$3*0.5)*EXP(-bdt!H37*0.5)</f>
        <v>3246145.1087450953</v>
      </c>
      <c r="J37">
        <f>((bdt!J37-$C$1)*$C$3*0.5)*EXP(-bdt!J37*0.5)</f>
        <v>1367116.8609144208</v>
      </c>
    </row>
    <row r="38" spans="1:10" x14ac:dyDescent="0.25">
      <c r="G38">
        <f>(0.5*(H37+H39)+(bdt!G38-$C$1)*$C$3*0.5)*EXP(-bdt!G38*0.5)</f>
        <v>2819027.9178218171</v>
      </c>
      <c r="I38">
        <f>(0.5*(J37+J39)+(bdt!I38-$C$1)*$C$3*0.5)*EXP(-bdt!I38*0.5)</f>
        <v>1607128.2129780895</v>
      </c>
    </row>
    <row r="39" spans="1:10" x14ac:dyDescent="0.25">
      <c r="F39">
        <f>(0.5*(G38+G40)+(bdt!F39-$C$1)*$C$3*0.5)*EXP(-bdt!F39*0.5)</f>
        <v>2359181.2329578223</v>
      </c>
      <c r="H39">
        <f>(0.5*(I38+I40)+(bdt!H39-$C$1)*$C$3*0.5)*EXP(-bdt!H39*0.5)</f>
        <v>1643091.9779748323</v>
      </c>
      <c r="J39">
        <f>((bdt!J39-$C$1)*$C$3*0.5)*EXP(-bdt!J39*0.5)</f>
        <v>636032.87226604251</v>
      </c>
    </row>
    <row r="40" spans="1:10" x14ac:dyDescent="0.25">
      <c r="E40">
        <f>(0.5*(F39+F41)+(bdt!E40-$C$1)*$C$3*0.5)*EXP(-bdt!E40*0.5)</f>
        <v>1798576.3351138714</v>
      </c>
      <c r="G40">
        <f>(0.5*(H39+H41)+(bdt!G40-$C$1)*$C$3*0.5)*EXP(-bdt!G40*0.5)</f>
        <v>1335189.5805773486</v>
      </c>
      <c r="I40">
        <f>(0.5*(J39+J41)+(bdt!I40-$C$1)*$C$3*0.5)*EXP(-bdt!I40*0.5)</f>
        <v>700437.68440996285</v>
      </c>
    </row>
    <row r="41" spans="1:10" x14ac:dyDescent="0.25">
      <c r="D41">
        <f>(0.5*(E40+E42)+(bdt!D41-$C$1)*$C$3*0.5)*EXP(-bdt!D41*0.5)</f>
        <v>1305652.9227016456</v>
      </c>
      <c r="F41">
        <f>(0.5*(G40+G42)+(bdt!F41-$C$1)*$C$3*0.5)*EXP(-bdt!F41*0.5)</f>
        <v>1015336.2805365374</v>
      </c>
      <c r="H41">
        <f>(0.5*(I40+I42)+(bdt!H41-$C$1)*$C$3*0.5)*EXP(-bdt!H41*0.5)</f>
        <v>662546.0092770562</v>
      </c>
      <c r="J41">
        <f>((bdt!J41-$C$1)*$C$3*0.5)*EXP(-bdt!J41*0.5)</f>
        <v>248953.83838891957</v>
      </c>
    </row>
    <row r="42" spans="1:10" x14ac:dyDescent="0.25">
      <c r="C42">
        <f>(0.5*(D41+D43)+(bdt!C42-$C$1)*$C$3*0.5)*EXP(-bdt!C42*0.5)</f>
        <v>833511.42859951884</v>
      </c>
      <c r="E42">
        <f>(0.5*(F41+F43)+(bdt!E42-$C$1)*$C$3*0.5)*EXP(-bdt!E42*0.5)</f>
        <v>643943.1799594186</v>
      </c>
      <c r="G42">
        <f>(0.5*(H41+H43)+(bdt!G42-$C$1)*$C$3*0.5)*EXP(-bdt!G42*0.5)</f>
        <v>455840.77164007723</v>
      </c>
      <c r="I42">
        <f>(0.5*(J41+J43)+(bdt!I42-$C$1)*$C$3*0.5)*EXP(-bdt!I42*0.5)</f>
        <v>223352.27598038552</v>
      </c>
    </row>
    <row r="43" spans="1:10" x14ac:dyDescent="0.25">
      <c r="B43">
        <f>(0.5*(C42+C44)+(bdt!B43-$C$1)*$C$3*0.5)*EXP(-bdt!B43*0.5)</f>
        <v>404708.36750804825</v>
      </c>
      <c r="D43">
        <f>(0.5*(E42+E44)+(bdt!D43-$C$1)*$C$3*0.5)*EXP(-bdt!D43*0.5)</f>
        <v>328044.60808813159</v>
      </c>
      <c r="F43">
        <f>(0.5*(G42+G44)+(bdt!F43-$C$1)*$C$3*0.5)*EXP(-bdt!F43*0.5)</f>
        <v>240890.64947267433</v>
      </c>
      <c r="H43">
        <f>(0.5*(I42+I44)+(bdt!H43-$C$1)*$C$3*0.5)*EXP(-bdt!H43*0.5)</f>
        <v>148701.76210785794</v>
      </c>
      <c r="J43">
        <f>((bdt!J43-$C$1)*$C$3*0.5)*EXP(-bdt!J43*0.5)</f>
        <v>59436.156371903395</v>
      </c>
    </row>
    <row r="44" spans="1:10" x14ac:dyDescent="0.25">
      <c r="A44">
        <f>(0.5*(B43+B45)+(bdt!A44-$C$1)*$C$3*0.5)*EXP(-bdt!A44*0.5)</f>
        <v>2.9007946112409643E-11</v>
      </c>
      <c r="C44">
        <f>(0.5*(D43+D45)+(bdt!C44-$C$1)*$C$3*0.5)*EXP(-bdt!C44*0.5)</f>
        <v>23828.656706779399</v>
      </c>
      <c r="E44">
        <f>(0.5*(F43+F45)+(bdt!E44-$C$1)*$C$3*0.5)*EXP(-bdt!E44*0.5)</f>
        <v>-2231.7065623308254</v>
      </c>
      <c r="G44">
        <f>(0.5*(H43+H45)+(bdt!G44-$C$1)*$C$3*0.5)*EXP(-bdt!G44*0.5)</f>
        <v>-2736.2229767294039</v>
      </c>
      <c r="I44">
        <f>(0.5*(J43+J45)+(bdt!I44-$C$1)*$C$3*0.5)*EXP(-bdt!I44*0.5)</f>
        <v>-9838.90175814752</v>
      </c>
    </row>
    <row r="45" spans="1:10" x14ac:dyDescent="0.25">
      <c r="B45">
        <f>(0.5*(C44+C46)+(bdt!B45-$C$1)*$C$3*0.5)*EXP(-bdt!B45*0.5)</f>
        <v>-255427.24968896896</v>
      </c>
      <c r="D45">
        <f>(0.5*(E44+E46)+(bdt!D45-$C$1)*$C$3*0.5)*EXP(-bdt!D45*0.5)</f>
        <v>-210416.80519376445</v>
      </c>
      <c r="F45">
        <f>(0.5*(G44+G46)+(bdt!F45-$C$1)*$C$3*0.5)*EXP(-bdt!F45*0.5)</f>
        <v>-160300.37864209717</v>
      </c>
      <c r="H45">
        <f>(0.5*(I44+I46)+(bdt!H45-$C$1)*$C$3*0.5)*EXP(-bdt!H45*0.5)</f>
        <v>-102106.79065722873</v>
      </c>
      <c r="J45">
        <f>((bdt!J45-$C$1)*$C$3*0.5)*EXP(-bdt!J45*0.5)</f>
        <v>-30187.400445582207</v>
      </c>
    </row>
    <row r="46" spans="1:10" x14ac:dyDescent="0.25">
      <c r="C46">
        <f>(0.5*(D45+D47)+(bdt!C46-$C$1)*$C$3*0.5)*EXP(-bdt!C46*0.5)</f>
        <v>-415431.6575372775</v>
      </c>
      <c r="E46">
        <f>(0.5*(F45+F47)+(bdt!E46-$C$1)*$C$3*0.5)*EXP(-bdt!E46*0.5)</f>
        <v>-333483.79384254722</v>
      </c>
      <c r="G46">
        <f>(0.5*(H45+H47)+(bdt!G46-$C$1)*$C$3*0.5)*EXP(-bdt!G46*0.5)</f>
        <v>-227841.94382468186</v>
      </c>
      <c r="I46">
        <f>(0.5*(J45+J47)+(bdt!I46-$C$1)*$C$3*0.5)*EXP(-bdt!I46*0.5)</f>
        <v>-120055.45285572353</v>
      </c>
    </row>
    <row r="47" spans="1:10" x14ac:dyDescent="0.25">
      <c r="D47">
        <f>(0.5*(E46+E48)+(bdt!D47-$C$1)*$C$3*0.5)*EXP(-bdt!D47*0.5)</f>
        <v>-486599.64271037717</v>
      </c>
      <c r="F47">
        <f>(0.5*(G46+G48)+(bdt!F47-$C$1)*$C$3*0.5)*EXP(-bdt!F47*0.5)</f>
        <v>-357727.0885515078</v>
      </c>
      <c r="H47">
        <f>(0.5*(I46+I48)+(bdt!H47-$C$1)*$C$3*0.5)*EXP(-bdt!H47*0.5)</f>
        <v>-220586.18197298713</v>
      </c>
      <c r="J47">
        <f>((bdt!J47-$C$1)*$C$3*0.5)*EXP(-bdt!J47*0.5)</f>
        <v>-71909.940291298321</v>
      </c>
    </row>
    <row r="48" spans="1:10" x14ac:dyDescent="0.25">
      <c r="E48">
        <f>(0.5*(F47+F49)+(bdt!E48-$C$1)*$C$3*0.5)*EXP(-bdt!E48*0.5)</f>
        <v>-496187.94261559902</v>
      </c>
      <c r="G48">
        <f>(0.5*(H47+H49)+(bdt!G48-$C$1)*$C$3*0.5)*EXP(-bdt!G48*0.5)</f>
        <v>-335292.53796419938</v>
      </c>
      <c r="I48">
        <f>(0.5*(J47+J49)+(bdt!I48-$C$1)*$C$3*0.5)*EXP(-bdt!I48*0.5)</f>
        <v>-171354.18429812341</v>
      </c>
    </row>
    <row r="49" spans="1:10" x14ac:dyDescent="0.25">
      <c r="F49">
        <f>(0.5*(G48+G50)+(bdt!F49-$C$1)*$C$3*0.5)*EXP(-bdt!F49*0.5)</f>
        <v>-452592.91142170294</v>
      </c>
      <c r="H49">
        <f>(0.5*(I48+I50)+(bdt!H49-$C$1)*$C$3*0.5)*EXP(-bdt!H49*0.5)</f>
        <v>-275718.23586382426</v>
      </c>
      <c r="J49">
        <f>((bdt!J49-$C$1)*$C$3*0.5)*EXP(-bdt!J49*0.5)</f>
        <v>-91194.29962325636</v>
      </c>
    </row>
    <row r="50" spans="1:10" x14ac:dyDescent="0.25">
      <c r="G50">
        <f>(0.5*(H49+H51)+(bdt!G50-$C$1)*$C$3*0.5)*EXP(-bdt!G50*0.5)</f>
        <v>-385940.19404145511</v>
      </c>
      <c r="I50">
        <f>(0.5*(J49+J51)+(bdt!I50-$C$1)*$C$3*0.5)*EXP(-bdt!I50*0.5)</f>
        <v>-195062.7162341818</v>
      </c>
    </row>
    <row r="51" spans="1:10" x14ac:dyDescent="0.25">
      <c r="H51">
        <f>(0.5*(I50+I52)+(bdt!H51-$C$1)*$C$3*0.5)*EXP(-bdt!H51*0.5)</f>
        <v>-301195.85603004281</v>
      </c>
      <c r="J51">
        <f>((bdt!J51-$C$1)*$C$3*0.5)*EXP(-bdt!J51*0.5)</f>
        <v>-100078.39841284153</v>
      </c>
    </row>
    <row r="52" spans="1:10" x14ac:dyDescent="0.25">
      <c r="I52">
        <f>(0.5*(J51+J53)+(bdt!I52-$C$1)*$C$3*0.5)*EXP(-bdt!I52*0.5)</f>
        <v>-205984.58783289007</v>
      </c>
    </row>
    <row r="53" spans="1:10" x14ac:dyDescent="0.25">
      <c r="J53">
        <f>((bdt!J53-$C$1)*$C$3*0.5)*EXP(-bdt!J53*0.5)</f>
        <v>-104165.04600510426</v>
      </c>
    </row>
    <row r="57" spans="1:10" x14ac:dyDescent="0.25">
      <c r="A57" t="s">
        <v>51</v>
      </c>
      <c r="E57" t="s">
        <v>54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codeName="Sheet5" enableFormatConditionsCalculation="0"/>
  <dimension ref="A1:F53"/>
  <sheetViews>
    <sheetView topLeftCell="A34" workbookViewId="0">
      <selection activeCell="B54" sqref="B54"/>
    </sheetView>
  </sheetViews>
  <sheetFormatPr defaultColWidth="8.85546875" defaultRowHeight="15" x14ac:dyDescent="0.25"/>
  <sheetData>
    <row r="1" spans="1:1" x14ac:dyDescent="0.25">
      <c r="A1" t="s">
        <v>52</v>
      </c>
    </row>
    <row r="3" spans="1:1" x14ac:dyDescent="0.25">
      <c r="A3" t="s">
        <v>53</v>
      </c>
    </row>
    <row r="4" spans="1:1" x14ac:dyDescent="0.25">
      <c r="A4" t="s">
        <v>55</v>
      </c>
    </row>
    <row r="39" spans="1:6" x14ac:dyDescent="0.25">
      <c r="F39">
        <f>MAX(swap!F39,0)</f>
        <v>2359181.2329578223</v>
      </c>
    </row>
    <row r="40" spans="1:6" x14ac:dyDescent="0.25">
      <c r="E40">
        <f>MAX(swap!E40,EXP(-bdt!E40*0.5)*0.5*(F39+F41))</f>
        <v>1798576.3351138714</v>
      </c>
    </row>
    <row r="41" spans="1:6" x14ac:dyDescent="0.25">
      <c r="D41">
        <f>MAX(swap!D41,EXP(-bdt!D41*0.5)*0.5*(E40+E42))</f>
        <v>1305652.9227016456</v>
      </c>
      <c r="F41">
        <f>MAX(swap!F41,0)</f>
        <v>1015336.2805365374</v>
      </c>
    </row>
    <row r="42" spans="1:6" x14ac:dyDescent="0.25">
      <c r="C42">
        <f>MAX(swap!C42,EXP(-bdt!C42*0.5)*0.5*(D41+D43))</f>
        <v>833511.42859951884</v>
      </c>
      <c r="E42">
        <f>MAX(swap!E42,EXP(-bdt!E42*0.5)*0.5*(F41+F43))</f>
        <v>643943.1799594186</v>
      </c>
    </row>
    <row r="43" spans="1:6" x14ac:dyDescent="0.25">
      <c r="B43">
        <f>MAX(swap!B43,EXP(-bdt!B43*0.5)*0.5*(C42+C44))</f>
        <v>520589.77885698248</v>
      </c>
      <c r="D43">
        <f>MAX(swap!D43,EXP(-bdt!D43*0.5)*0.5*(E42+E44))</f>
        <v>377296.44981954794</v>
      </c>
      <c r="F43">
        <f>MAX(swap!F43,0)</f>
        <v>240890.64947267433</v>
      </c>
    </row>
    <row r="44" spans="1:6" x14ac:dyDescent="0.25">
      <c r="A44">
        <f>MAX(swap!A44,EXP(-bdt!A44*0.5)*0.5*(B43+B45))</f>
        <v>320547.46795240295</v>
      </c>
      <c r="C44">
        <f>MAX(swap!C44,EXP(-bdt!C44*0.5)*0.5*(D43+D45))</f>
        <v>216789.47425106398</v>
      </c>
      <c r="E44">
        <f>MAX(swap!E44,EXP(-bdt!E44*0.5)*0.5*(F43+F45))</f>
        <v>119663.78266065434</v>
      </c>
    </row>
    <row r="45" spans="1:6" x14ac:dyDescent="0.25">
      <c r="B45">
        <f>MAX(swap!B45,EXP(-bdt!B45*0.5)*0.5*(C44+C46))</f>
        <v>122624.26494124337</v>
      </c>
      <c r="D45">
        <f>MAX(swap!D45,EXP(-bdt!D45*0.5)*0.5*(E44+E46))</f>
        <v>59451.758847571931</v>
      </c>
      <c r="F45">
        <f>MAX(swap!F45,0)</f>
        <v>0</v>
      </c>
    </row>
    <row r="46" spans="1:6" x14ac:dyDescent="0.25">
      <c r="C46">
        <f>MAX(swap!C46,EXP(-bdt!C46*0.5)*0.5*(D45+D47))</f>
        <v>29609.907704661051</v>
      </c>
      <c r="E46">
        <f>MAX((MAX(swap!E46,0)+EXP(-bdt!E46*0.5)*0.5*(F45+F47)),0)</f>
        <v>0</v>
      </c>
    </row>
    <row r="47" spans="1:6" x14ac:dyDescent="0.25">
      <c r="D47">
        <f>MAX((MAX(swap!D47,0)+EXP(-bdt!D47*0.5)*0.5*(E46+E48)),0)</f>
        <v>0</v>
      </c>
      <c r="F47">
        <f>MAX(swap!F47,0)</f>
        <v>0</v>
      </c>
    </row>
    <row r="48" spans="1:6" x14ac:dyDescent="0.25">
      <c r="E48">
        <f>MAX((MAX(swap!E48,0)+EXP(-bdt!E48*0.5)*0.5*(F47+F49)),0)</f>
        <v>0</v>
      </c>
    </row>
    <row r="49" spans="1:6" x14ac:dyDescent="0.25">
      <c r="F49">
        <f>MAX(swap!F49,0)</f>
        <v>0</v>
      </c>
    </row>
    <row r="52" spans="1:6" x14ac:dyDescent="0.25">
      <c r="A52" t="s">
        <v>56</v>
      </c>
    </row>
    <row r="53" spans="1:6" x14ac:dyDescent="0.25">
      <c r="B53" s="2" t="s">
        <v>57</v>
      </c>
    </row>
  </sheetData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31" operator="equal" id="{685DA335-CD2F-4864-955A-728431DEE92A}">
            <xm:f>swap!A39</xm:f>
            <x14:dxf>
              <font>
                <b/>
                <i val="0"/>
                <strike val="0"/>
                <color rgb="FFFF0000"/>
              </font>
            </x14:dxf>
          </x14:cfRule>
          <xm:sqref>E40 F39 F41 F43 F45 F47 F49 D47 E42 E44 D41 D43 D45 C42 C44 C46 B45 B43 A44</xm:sqref>
        </x14:conditionalFormatting>
      </x14:conditionalFormattings>
    </ex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Z69"/>
  <sheetViews>
    <sheetView zoomScale="60" zoomScaleNormal="60" zoomScalePageLayoutView="60" workbookViewId="0">
      <selection activeCell="C2" sqref="C2"/>
    </sheetView>
  </sheetViews>
  <sheetFormatPr defaultColWidth="8.85546875" defaultRowHeight="15" x14ac:dyDescent="0.25"/>
  <sheetData>
    <row r="1" spans="1:3" x14ac:dyDescent="0.25">
      <c r="A1" t="s">
        <v>12</v>
      </c>
      <c r="C1">
        <v>-2.3700000000000001E-3</v>
      </c>
    </row>
    <row r="19" spans="13:26" x14ac:dyDescent="0.25">
      <c r="Z19">
        <f>bdt!Z19+$C$1</f>
        <v>8.6632614417411418</v>
      </c>
    </row>
    <row r="20" spans="13:26" x14ac:dyDescent="0.25">
      <c r="Y20">
        <f>bdt!Y20+$C$1</f>
        <v>11.020748823091155</v>
      </c>
    </row>
    <row r="21" spans="13:26" x14ac:dyDescent="0.25">
      <c r="X21">
        <f>bdt!X21+$C$1</f>
        <v>11.445465267760341</v>
      </c>
      <c r="Z21">
        <f>bdt!Z21+$C$1</f>
        <v>5.2800804020022012</v>
      </c>
    </row>
    <row r="22" spans="13:26" x14ac:dyDescent="0.25">
      <c r="W22">
        <f>bdt!W22+$C$1</f>
        <v>8.2414483953078204</v>
      </c>
      <c r="Y22">
        <f>bdt!Y22+$C$1</f>
        <v>6.5297777980468172</v>
      </c>
    </row>
    <row r="23" spans="13:26" x14ac:dyDescent="0.25">
      <c r="V23">
        <f>bdt!V23+$C$1</f>
        <v>10.207966118552289</v>
      </c>
      <c r="X23">
        <f>bdt!X23+$C$1</f>
        <v>6.781477821064505</v>
      </c>
      <c r="Z23">
        <f>bdt!Z23+$C$1</f>
        <v>3.2177395139128775</v>
      </c>
    </row>
    <row r="24" spans="13:26" x14ac:dyDescent="0.25">
      <c r="U24">
        <f>bdt!U24+$C$1</f>
        <v>12.058722446216107</v>
      </c>
      <c r="W24">
        <f>bdt!W24+$C$1</f>
        <v>4.8828025925508181</v>
      </c>
      <c r="Y24">
        <f>bdt!Y24+$C$1</f>
        <v>3.8684904652020307</v>
      </c>
    </row>
    <row r="25" spans="13:26" x14ac:dyDescent="0.25">
      <c r="T25">
        <f>bdt!T25+$C$1</f>
        <v>8.6794676936753863</v>
      </c>
      <c r="V25">
        <f>bdt!V25+$C$1</f>
        <v>5.7968019968057094</v>
      </c>
      <c r="X25">
        <f>bdt!X25+$C$1</f>
        <v>4.0176556365468414</v>
      </c>
      <c r="Z25">
        <f>bdt!Z25+$C$1</f>
        <v>1.9605647163698945</v>
      </c>
    </row>
    <row r="26" spans="13:26" x14ac:dyDescent="0.25">
      <c r="S26">
        <f>bdt!S26+$C$1</f>
        <v>6.2594478682275927</v>
      </c>
      <c r="U26">
        <f>bdt!U26+$C$1</f>
        <v>6.8479768526907945</v>
      </c>
      <c r="W26">
        <f>bdt!W26+$C$1</f>
        <v>2.8925156118170929</v>
      </c>
      <c r="Y26">
        <f>bdt!Y26+$C$1</f>
        <v>2.2914483893426794</v>
      </c>
    </row>
    <row r="27" spans="13:26" x14ac:dyDescent="0.25">
      <c r="R27">
        <f>bdt!R27+$C$1</f>
        <v>4.4356797177091343</v>
      </c>
      <c r="T27">
        <f>bdt!T27+$C$1</f>
        <v>4.9286585941911412</v>
      </c>
      <c r="V27">
        <f>bdt!V27+$C$1</f>
        <v>3.2913899172106338</v>
      </c>
      <c r="X27">
        <f>bdt!X27+$C$1</f>
        <v>2.3798482550017681</v>
      </c>
      <c r="Z27">
        <f>bdt!Z27+$C$1</f>
        <v>1.194208154898867</v>
      </c>
    </row>
    <row r="28" spans="13:26" x14ac:dyDescent="0.25">
      <c r="Q28">
        <f>bdt!Q28+$C$1</f>
        <v>6.5222861348380841</v>
      </c>
      <c r="S28">
        <f>bdt!S28+$C$1</f>
        <v>3.5541597779615928</v>
      </c>
      <c r="U28">
        <f>bdt!U28+$C$1</f>
        <v>3.8884261456586806</v>
      </c>
      <c r="W28">
        <f>bdt!W28+$C$1</f>
        <v>1.7130991153152839</v>
      </c>
      <c r="Y28">
        <f>bdt!Y28+$C$1</f>
        <v>1.356915060928185</v>
      </c>
    </row>
    <row r="29" spans="13:26" x14ac:dyDescent="0.25">
      <c r="P29">
        <f>bdt!P29+$C$1</f>
        <v>2.2517935169866279</v>
      </c>
      <c r="R29">
        <f>bdt!R29+$C$1</f>
        <v>2.3796799391638124</v>
      </c>
      <c r="T29">
        <f>bdt!T29+$C$1</f>
        <v>2.7983092864192667</v>
      </c>
      <c r="V29">
        <f>bdt!V29+$C$1</f>
        <v>1.8683892046242372</v>
      </c>
      <c r="X29">
        <f>bdt!X29+$C$1</f>
        <v>1.409303538315642</v>
      </c>
      <c r="Z29">
        <f>bdt!Z29+$C$1</f>
        <v>0.72704767693071326</v>
      </c>
    </row>
    <row r="30" spans="13:26" x14ac:dyDescent="0.25">
      <c r="O30">
        <f>bdt!O30+$C$1</f>
        <v>11.806666203759203</v>
      </c>
      <c r="Q30">
        <f>bdt!Q30+$C$1</f>
        <v>3.4996349686149943</v>
      </c>
      <c r="S30">
        <f>bdt!S30+$C$1</f>
        <v>2.0176351051800725</v>
      </c>
      <c r="U30">
        <f>bdt!U30+$C$1</f>
        <v>2.2074881243555819</v>
      </c>
      <c r="W30">
        <f>bdt!W30+$C$1</f>
        <v>1.014193236069771</v>
      </c>
      <c r="Y30">
        <f>bdt!Y30+$C$1</f>
        <v>0.80312353228962763</v>
      </c>
    </row>
    <row r="31" spans="13:26" x14ac:dyDescent="0.25">
      <c r="N31">
        <f>bdt!N31+$C$1</f>
        <v>7.1199543703311106</v>
      </c>
      <c r="P31">
        <f>bdt!P31+$C$1</f>
        <v>1.2075146889228847</v>
      </c>
      <c r="R31">
        <f>bdt!R31+$C$1</f>
        <v>1.2761559908262707</v>
      </c>
      <c r="T31">
        <f>bdt!T31+$C$1</f>
        <v>1.5883335044611382</v>
      </c>
      <c r="V31">
        <f>bdt!V31+$C$1</f>
        <v>1.0601664597460134</v>
      </c>
      <c r="X31">
        <f>bdt!X31+$C$1</f>
        <v>0.83417055399685658</v>
      </c>
      <c r="Z31">
        <f>bdt!Z31+$C$1</f>
        <v>0.4422730391869944</v>
      </c>
    </row>
    <row r="32" spans="13:26" x14ac:dyDescent="0.25">
      <c r="M32">
        <f>bdt!M32+$C$1</f>
        <v>5.5652883206851413</v>
      </c>
      <c r="O32">
        <f>bdt!O32+$C$1</f>
        <v>4.707332567450532</v>
      </c>
      <c r="Q32">
        <f>bdt!Q32+$C$1</f>
        <v>1.8772752329067377</v>
      </c>
      <c r="S32">
        <f>bdt!S32+$C$1</f>
        <v>1.1449339394294706</v>
      </c>
      <c r="U32">
        <f>bdt!U32+$C$1</f>
        <v>1.2527646169162094</v>
      </c>
      <c r="W32">
        <f>bdt!W32+$C$1</f>
        <v>0.60003129286076795</v>
      </c>
      <c r="Y32">
        <f>bdt!Y32+$C$1</f>
        <v>0.47495432968650164</v>
      </c>
    </row>
    <row r="33" spans="1:26" x14ac:dyDescent="0.25">
      <c r="L33">
        <f>bdt!L33+$C$1</f>
        <v>3.9271527613342694</v>
      </c>
      <c r="N33">
        <f>bdt!N33+$C$1</f>
        <v>2.8381733592852916</v>
      </c>
      <c r="P33">
        <f>bdt!P33+$C$1</f>
        <v>0.64701543697436181</v>
      </c>
      <c r="R33">
        <f>bdt!R33+$C$1</f>
        <v>0.68385772442466619</v>
      </c>
      <c r="T33">
        <f>bdt!T33+$C$1</f>
        <v>0.90110282938634589</v>
      </c>
      <c r="V33">
        <f>bdt!V33+$C$1</f>
        <v>0.60111960224218719</v>
      </c>
      <c r="X33">
        <f>bdt!X33+$C$1</f>
        <v>0.49335374878992494</v>
      </c>
      <c r="Z33">
        <f>bdt!Z33+$C$1</f>
        <v>0.26867831504683576</v>
      </c>
    </row>
    <row r="34" spans="1:26" x14ac:dyDescent="0.25">
      <c r="K34">
        <f>bdt!K34+$C$1</f>
        <v>0.88538452486010955</v>
      </c>
      <c r="M34">
        <f>bdt!M34+$C$1</f>
        <v>2.2181372200462248</v>
      </c>
      <c r="O34">
        <f>bdt!O34+$C$1</f>
        <v>1.8759626506179314</v>
      </c>
      <c r="Q34">
        <f>bdt!Q34+$C$1</f>
        <v>1.0064995570829858</v>
      </c>
      <c r="S34">
        <f>bdt!S34+$C$1</f>
        <v>0.64926514985920825</v>
      </c>
      <c r="U34">
        <f>bdt!U34+$C$1</f>
        <v>0.71050965920472475</v>
      </c>
      <c r="W34">
        <f>bdt!W34+$C$1</f>
        <v>0.35460466204199642</v>
      </c>
      <c r="Y34">
        <f>bdt!Y34+$C$1</f>
        <v>0.28048579781507832</v>
      </c>
    </row>
    <row r="35" spans="1:26" x14ac:dyDescent="0.25">
      <c r="J35">
        <f>bdt!J35+$C$1</f>
        <v>0.75231231655164887</v>
      </c>
      <c r="L35">
        <f>bdt!L35+$C$1</f>
        <v>1.5648101932822902</v>
      </c>
      <c r="N35">
        <f>bdt!N35+$C$1</f>
        <v>1.1305026629737396</v>
      </c>
      <c r="P35">
        <f>bdt!P35+$C$1</f>
        <v>0.3461768074894046</v>
      </c>
      <c r="R35">
        <f>bdt!R35+$C$1</f>
        <v>0.36595140539022009</v>
      </c>
      <c r="T35">
        <f>bdt!T35+$C$1</f>
        <v>0.51077600813423374</v>
      </c>
      <c r="V35">
        <f>bdt!V35+$C$1</f>
        <v>0.34039442626871452</v>
      </c>
      <c r="X35">
        <f>bdt!X35+$C$1</f>
        <v>0.29138985890967334</v>
      </c>
      <c r="Z35">
        <f>bdt!Z35+$C$1</f>
        <v>0.16285734556704071</v>
      </c>
    </row>
    <row r="36" spans="1:26" x14ac:dyDescent="0.25">
      <c r="I36">
        <f>bdt!I36+$C$1</f>
        <v>0.37071820485827817</v>
      </c>
      <c r="K36">
        <f>bdt!K36+$C$1</f>
        <v>0.4054711024063502</v>
      </c>
      <c r="M36">
        <f>bdt!M36+$C$1</f>
        <v>0.88321816476918102</v>
      </c>
      <c r="O36">
        <f>bdt!O36+$C$1</f>
        <v>0.74675024609809737</v>
      </c>
      <c r="Q36">
        <f>bdt!Q36+$C$1</f>
        <v>0.5391246211072166</v>
      </c>
      <c r="S36">
        <f>bdt!S36+$C$1</f>
        <v>0.36773974506301388</v>
      </c>
      <c r="U36">
        <f>bdt!U36+$C$1</f>
        <v>0.40252474328774002</v>
      </c>
      <c r="W36">
        <f>bdt!W36+$C$1</f>
        <v>0.20916824012368193</v>
      </c>
      <c r="Y36">
        <f>bdt!Y36+$C$1</f>
        <v>0.16524643474187017</v>
      </c>
    </row>
    <row r="37" spans="1:26" x14ac:dyDescent="0.25">
      <c r="H37">
        <f>bdt!H37+$C$1</f>
        <v>0.31087384352540354</v>
      </c>
      <c r="J37">
        <f>bdt!J37+$C$1</f>
        <v>0.34433678704202358</v>
      </c>
      <c r="L37">
        <f>bdt!L37+$C$1</f>
        <v>0.62265596559139502</v>
      </c>
      <c r="N37">
        <f>bdt!N37+$C$1</f>
        <v>0.44944513118536883</v>
      </c>
      <c r="P37">
        <f>bdt!P37+$C$1</f>
        <v>0.18470668834872925</v>
      </c>
      <c r="R37">
        <f>bdt!R37+$C$1</f>
        <v>0.19532043546348232</v>
      </c>
      <c r="T37">
        <f>bdt!T37+$C$1</f>
        <v>0.28908184791328995</v>
      </c>
      <c r="V37">
        <f>bdt!V37+$C$1</f>
        <v>0.19231015932472018</v>
      </c>
      <c r="X37">
        <f>bdt!X37+$C$1</f>
        <v>0.17170851634560433</v>
      </c>
      <c r="Z37">
        <f>bdt!Z37+$C$1</f>
        <v>9.8350329947127585E-2</v>
      </c>
    </row>
    <row r="38" spans="1:26" x14ac:dyDescent="0.25">
      <c r="G38">
        <f>bdt!G38+$C$1</f>
        <v>0.13374792371214214</v>
      </c>
      <c r="I38">
        <f>bdt!I38+$C$1</f>
        <v>0.16902971644774409</v>
      </c>
      <c r="K38">
        <f>bdt!K38+$C$1</f>
        <v>0.18499526838681854</v>
      </c>
      <c r="M38">
        <f>bdt!M38+$C$1</f>
        <v>0.35082245553406477</v>
      </c>
      <c r="O38">
        <f>bdt!O38+$C$1</f>
        <v>0.29639557963758828</v>
      </c>
      <c r="Q38">
        <f>bdt!Q38+$C$1</f>
        <v>0.28826858913123021</v>
      </c>
      <c r="S38">
        <f>bdt!S38+$C$1</f>
        <v>0.20784153235856773</v>
      </c>
      <c r="U38">
        <f>bdt!U38+$C$1</f>
        <v>0.22759834181653182</v>
      </c>
      <c r="W38">
        <f>bdt!W38+$C$1</f>
        <v>0.12298463099439831</v>
      </c>
      <c r="Y38">
        <f>bdt!Y38+$C$1</f>
        <v>9.6957181597823849E-2</v>
      </c>
    </row>
    <row r="39" spans="1:26" x14ac:dyDescent="0.25">
      <c r="F39">
        <f>bdt!F39+$C$1</f>
        <v>0.10046870951246617</v>
      </c>
      <c r="H39">
        <f>bdt!H39+$C$1</f>
        <v>0.14153653349332923</v>
      </c>
      <c r="J39">
        <f>bdt!J39+$C$1</f>
        <v>0.15690973074850284</v>
      </c>
      <c r="L39">
        <f>bdt!L39+$C$1</f>
        <v>0.24690411623628661</v>
      </c>
      <c r="N39">
        <f>bdt!N39+$C$1</f>
        <v>0.17782404955204922</v>
      </c>
      <c r="P39">
        <f>bdt!P39+$C$1</f>
        <v>9.8040293743951346E-2</v>
      </c>
      <c r="R39">
        <f>bdt!R39+$C$1</f>
        <v>0.10373707849666286</v>
      </c>
      <c r="T39">
        <f>bdt!T39+$C$1</f>
        <v>0.16316608194463625</v>
      </c>
      <c r="V39">
        <f>bdt!V39+$C$1</f>
        <v>0.1082026310261438</v>
      </c>
      <c r="X39">
        <f>bdt!X39+$C$1</f>
        <v>0.10078680966610433</v>
      </c>
      <c r="Z39">
        <f>bdt!Z39+$C$1</f>
        <v>5.902773552521362E-2</v>
      </c>
    </row>
    <row r="40" spans="1:26" x14ac:dyDescent="0.25">
      <c r="E40">
        <f>bdt!E40+$C$1</f>
        <v>5.1183805299666665E-2</v>
      </c>
      <c r="G40">
        <f>bdt!G40+$C$1</f>
        <v>6.4745471716071701E-2</v>
      </c>
      <c r="I40">
        <f>bdt!I40+$C$1</f>
        <v>7.6372405725548459E-2</v>
      </c>
      <c r="K40">
        <f>bdt!K40+$C$1</f>
        <v>8.3707012813404827E-2</v>
      </c>
      <c r="M40">
        <f>bdt!M40+$C$1</f>
        <v>0.13849108600908833</v>
      </c>
      <c r="O40">
        <f>bdt!O40+$C$1</f>
        <v>0.11678426400649627</v>
      </c>
      <c r="Q40">
        <f>bdt!Q40+$C$1</f>
        <v>0.15362562063879986</v>
      </c>
      <c r="S40">
        <f>bdt!S40+$C$1</f>
        <v>0.11702401468343857</v>
      </c>
      <c r="U40">
        <f>bdt!U40+$C$1</f>
        <v>0.12824527499323937</v>
      </c>
      <c r="W40">
        <f>bdt!W40+$C$1</f>
        <v>7.1913417988890588E-2</v>
      </c>
      <c r="Y40">
        <f>bdt!Y40+$C$1</f>
        <v>5.6489914419254744E-2</v>
      </c>
    </row>
    <row r="41" spans="1:26" x14ac:dyDescent="0.25">
      <c r="D41">
        <f>bdt!D41+$C$1</f>
        <v>4.1878438260588569E-2</v>
      </c>
      <c r="F41">
        <f>bdt!F41+$C$1</f>
        <v>4.8336574981892269E-2</v>
      </c>
      <c r="H41">
        <f>bdt!H41+$C$1</f>
        <v>6.3741723534599101E-2</v>
      </c>
      <c r="J41">
        <f>bdt!J41+$C$1</f>
        <v>7.0804317825628627E-2</v>
      </c>
      <c r="L41">
        <f>bdt!L41+$C$1</f>
        <v>9.7046005807994898E-2</v>
      </c>
      <c r="N41">
        <f>bdt!N41+$C$1</f>
        <v>6.9495445074358897E-2</v>
      </c>
      <c r="P41">
        <f>bdt!P41+$C$1</f>
        <v>5.152355124221749E-2</v>
      </c>
      <c r="R41">
        <f>bdt!R41+$C$1</f>
        <v>5.4581223162117561E-2</v>
      </c>
      <c r="T41">
        <f>bdt!T41+$C$1</f>
        <v>9.1649628359789195E-2</v>
      </c>
      <c r="V41">
        <f>bdt!V41+$C$1</f>
        <v>6.0432017290578927E-2</v>
      </c>
      <c r="X41">
        <f>bdt!X41+$C$1</f>
        <v>5.8759469643239963E-2</v>
      </c>
      <c r="Z41">
        <f>bdt!Z41+$C$1</f>
        <v>3.5057219803618075E-2</v>
      </c>
    </row>
    <row r="42" spans="1:26" x14ac:dyDescent="0.25">
      <c r="C42">
        <f>bdt!C42+$C$1</f>
        <v>2.4768047854798775E-2</v>
      </c>
      <c r="E42">
        <f>bdt!E42+$C$1</f>
        <v>2.4035706729989822E-2</v>
      </c>
      <c r="G42">
        <f>bdt!G42+$C$1</f>
        <v>3.0722530511975519E-2</v>
      </c>
      <c r="I42">
        <f>bdt!I42+$C$1</f>
        <v>3.3804893330918906E-2</v>
      </c>
      <c r="K42">
        <f>bdt!K42+$C$1</f>
        <v>3.7174426769546957E-2</v>
      </c>
      <c r="M42">
        <f>bdt!M42+$C$1</f>
        <v>5.380856565383537E-2</v>
      </c>
      <c r="O42">
        <f>bdt!O42+$C$1</f>
        <v>4.5151333107221039E-2</v>
      </c>
      <c r="Q42">
        <f>bdt!Q42+$C$1</f>
        <v>8.135815781698108E-2</v>
      </c>
      <c r="S42">
        <f>bdt!S42+$C$1</f>
        <v>6.5442315443825588E-2</v>
      </c>
      <c r="U42">
        <f>bdt!U42+$C$1</f>
        <v>7.1815646279826853E-2</v>
      </c>
      <c r="W42">
        <f>bdt!W42+$C$1</f>
        <v>4.1649324570137446E-2</v>
      </c>
      <c r="Y42">
        <f>bdt!Y42+$C$1</f>
        <v>3.2509571429598441E-2</v>
      </c>
    </row>
    <row r="43" spans="1:26" x14ac:dyDescent="0.25">
      <c r="B43">
        <f>bdt!B43+$C$1</f>
        <v>1.5074873406268677E-2</v>
      </c>
      <c r="D43">
        <f>bdt!D43+$C$1</f>
        <v>2.1379623823403845E-2</v>
      </c>
      <c r="F43">
        <f>bdt!F43+$C$1</f>
        <v>2.2631837912820033E-2</v>
      </c>
      <c r="H43">
        <f>bdt!H43+$C$1</f>
        <v>2.800221370437548E-2</v>
      </c>
      <c r="J43">
        <f>bdt!J43+$C$1</f>
        <v>3.1246837271659184E-2</v>
      </c>
      <c r="L43">
        <f>bdt!L43+$C$1</f>
        <v>3.7279291952344855E-2</v>
      </c>
      <c r="N43">
        <f>bdt!N43+$C$1</f>
        <v>2.6291557962511307E-2</v>
      </c>
      <c r="P43">
        <f>bdt!P43+$C$1</f>
        <v>2.655646517800362E-2</v>
      </c>
      <c r="R43">
        <f>bdt!R43+$C$1</f>
        <v>2.81976290933156E-2</v>
      </c>
      <c r="T43">
        <f>bdt!T43+$C$1</f>
        <v>5.1030385058463107E-2</v>
      </c>
      <c r="V43">
        <f>bdt!V43+$C$1</f>
        <v>3.3299707224689577E-2</v>
      </c>
      <c r="X43">
        <f>bdt!X43+$C$1</f>
        <v>3.3854579559595026E-2</v>
      </c>
      <c r="Z43">
        <f>bdt!Z43+$C$1</f>
        <v>2.0445121278423843E-2</v>
      </c>
    </row>
    <row r="44" spans="1:26" x14ac:dyDescent="0.25">
      <c r="A44">
        <f>bdt!A44+$C$1</f>
        <v>4.2299999999999994E-3</v>
      </c>
      <c r="C44">
        <f>bdt!C44+$C$1</f>
        <v>1.2195898110192307E-2</v>
      </c>
      <c r="E44">
        <f>bdt!E44+$C$1</f>
        <v>1.0649828264464513E-2</v>
      </c>
      <c r="G44">
        <f>bdt!G44+$C$1</f>
        <v>1.3946887115371193E-2</v>
      </c>
      <c r="I44">
        <f>bdt!I44+$C$1</f>
        <v>1.4249036406691468E-2</v>
      </c>
      <c r="K44">
        <f>bdt!K44+$C$1</f>
        <v>1.57970069327561E-2</v>
      </c>
      <c r="M44">
        <f>bdt!M44+$C$1</f>
        <v>2.003527407774397E-2</v>
      </c>
      <c r="O44">
        <f>bdt!O44+$C$1</f>
        <v>1.658254961387149E-2</v>
      </c>
      <c r="Q44">
        <f>bdt!Q44+$C$1</f>
        <v>4.2569751402749538E-2</v>
      </c>
      <c r="S44">
        <f>bdt!S44+$C$1</f>
        <v>3.6145415852674015E-2</v>
      </c>
      <c r="U44">
        <f>bdt!U44+$C$1</f>
        <v>3.9765271806765715E-2</v>
      </c>
      <c r="W44">
        <f>bdt!W44+$C$1</f>
        <v>2.3715242010550721E-2</v>
      </c>
      <c r="Y44">
        <f>bdt!Y44+$C$1</f>
        <v>1.8299151749810911E-2</v>
      </c>
    </row>
    <row r="45" spans="1:26" x14ac:dyDescent="0.25">
      <c r="B45">
        <f>bdt!B45+$C$1</f>
        <v>6.9932385901825059E-3</v>
      </c>
      <c r="D45">
        <f>bdt!D45+$C$1</f>
        <v>1.0377221233694426E-2</v>
      </c>
      <c r="F45">
        <f>bdt!F45+$C$1</f>
        <v>9.9576300803623716E-3</v>
      </c>
      <c r="H45">
        <f>bdt!H45+$C$1</f>
        <v>1.15832191264305E-2</v>
      </c>
      <c r="J45">
        <f>bdt!J45+$C$1</f>
        <v>1.3073830318202305E-2</v>
      </c>
      <c r="L45">
        <f>bdt!L45+$C$1</f>
        <v>1.3443010586629844E-2</v>
      </c>
      <c r="N45">
        <f>bdt!N45+$C$1</f>
        <v>9.0608747964812403E-3</v>
      </c>
      <c r="P45">
        <f>bdt!P45+$C$1</f>
        <v>1.3155797955559399E-2</v>
      </c>
      <c r="R45">
        <f>bdt!R45+$C$1</f>
        <v>1.4036670419118224E-2</v>
      </c>
      <c r="T45">
        <f>bdt!T45+$C$1</f>
        <v>2.7959848927713041E-2</v>
      </c>
      <c r="V45">
        <f>bdt!V45+$C$1</f>
        <v>1.7889349434718479E-2</v>
      </c>
      <c r="X45">
        <f>bdt!X45+$C$1</f>
        <v>1.9096244872198763E-2</v>
      </c>
      <c r="Z45">
        <f>bdt!Z45+$C$1</f>
        <v>1.1537785875638806E-2</v>
      </c>
    </row>
    <row r="46" spans="1:26" x14ac:dyDescent="0.25">
      <c r="C46">
        <f>bdt!C46+$C$1</f>
        <v>5.448004776603229E-3</v>
      </c>
      <c r="E46">
        <f>bdt!E46+$C$1</f>
        <v>4.0496701784779078E-3</v>
      </c>
      <c r="G46">
        <f>bdt!G46+$C$1</f>
        <v>5.6753444030041549E-3</v>
      </c>
      <c r="I46">
        <f>bdt!I46+$C$1</f>
        <v>5.2649187421341479E-3</v>
      </c>
      <c r="K46">
        <f>bdt!K46+$C$1</f>
        <v>5.9760595551980912E-3</v>
      </c>
      <c r="M46">
        <f>bdt!M46+$C$1</f>
        <v>6.5657266540420124E-3</v>
      </c>
      <c r="O46">
        <f>bdt!O46+$C$1</f>
        <v>5.1886923467784393E-3</v>
      </c>
      <c r="Q46">
        <f>bdt!Q46+$C$1</f>
        <v>2.1750693788050026E-2</v>
      </c>
      <c r="S46">
        <f>bdt!S46+$C$1</f>
        <v>1.9505632008661671E-2</v>
      </c>
      <c r="U46">
        <f>bdt!U46+$C$1</f>
        <v>2.15615988908868E-2</v>
      </c>
      <c r="W46">
        <f>bdt!W46+$C$1</f>
        <v>1.3087753098070205E-2</v>
      </c>
      <c r="Y46">
        <f>bdt!Y46+$C$1</f>
        <v>9.8782535348522788E-3</v>
      </c>
    </row>
    <row r="47" spans="1:26" x14ac:dyDescent="0.25">
      <c r="D47">
        <f>bdt!D47+$C$1</f>
        <v>4.4718620180680124E-3</v>
      </c>
      <c r="F47">
        <f>bdt!F47+$C$1</f>
        <v>3.7083716752411336E-3</v>
      </c>
      <c r="H47">
        <f>bdt!H47+$C$1</f>
        <v>4.0402118431406356E-3</v>
      </c>
      <c r="J47">
        <f>bdt!J47+$C$1</f>
        <v>4.7250129237322112E-3</v>
      </c>
      <c r="L47">
        <f>bdt!L47+$C$1</f>
        <v>3.9365767760344457E-3</v>
      </c>
      <c r="N47">
        <f>bdt!N47+$C$1</f>
        <v>2.1888903012089122E-3</v>
      </c>
      <c r="P47">
        <f>bdt!P47+$C$1</f>
        <v>5.9632132244126692E-3</v>
      </c>
      <c r="R47">
        <f>bdt!R47+$C$1</f>
        <v>6.4360095671741752E-3</v>
      </c>
      <c r="T47">
        <f>bdt!T47+$C$1</f>
        <v>1.4856462598926645E-2</v>
      </c>
      <c r="V47">
        <f>bdt!V47+$C$1</f>
        <v>9.1367173647540455E-3</v>
      </c>
      <c r="X47">
        <f>bdt!X47+$C$1</f>
        <v>1.0350635394956429E-2</v>
      </c>
      <c r="Z47">
        <f>bdt!Z47+$C$1</f>
        <v>6.1079960449099534E-3</v>
      </c>
    </row>
    <row r="48" spans="1:26" x14ac:dyDescent="0.25">
      <c r="E48">
        <f>bdt!E48+$C$1</f>
        <v>7.9533861763142087E-4</v>
      </c>
      <c r="G48">
        <f>bdt!G48+$C$1</f>
        <v>1.5969065616059978E-3</v>
      </c>
      <c r="I48">
        <f>bdt!I48+$C$1</f>
        <v>1.1375429629313948E-3</v>
      </c>
      <c r="K48">
        <f>bdt!K48+$C$1</f>
        <v>1.4642425010758667E-3</v>
      </c>
      <c r="M48">
        <f>bdt!M48+$C$1</f>
        <v>1.1937685376530258E-3</v>
      </c>
      <c r="O48">
        <f>bdt!O48+$C$1</f>
        <v>6.4457224264065707E-4</v>
      </c>
      <c r="Q48">
        <f>bdt!Q48+$C$1</f>
        <v>1.0576397135193739E-2</v>
      </c>
      <c r="S48">
        <f>bdt!S48+$C$1</f>
        <v>1.00547204705998E-2</v>
      </c>
      <c r="U48">
        <f>bdt!U48+$C$1</f>
        <v>1.1222446444888757E-2</v>
      </c>
      <c r="W48">
        <f>bdt!W48+$C$1</f>
        <v>6.7900503742404916E-3</v>
      </c>
      <c r="Y48">
        <f>bdt!Y48+$C$1</f>
        <v>4.888145688315134E-3</v>
      </c>
    </row>
    <row r="49" spans="6:26" x14ac:dyDescent="0.25">
      <c r="F49">
        <f>bdt!F49+$C$1</f>
        <v>6.2705636700023833E-4</v>
      </c>
      <c r="H49">
        <f>bdt!H49+$C$1</f>
        <v>5.7489862888380561E-4</v>
      </c>
      <c r="J49">
        <f>bdt!J49+$C$1</f>
        <v>8.8950281444083413E-4</v>
      </c>
      <c r="L49">
        <f>bdt!L49+$C$1</f>
        <v>1.4520166979750974E-4</v>
      </c>
      <c r="N49">
        <f>bdt!N49+$C$1</f>
        <v>-5.5181187805027196E-4</v>
      </c>
      <c r="P49">
        <f>bdt!P49+$C$1</f>
        <v>2.1027132764638739E-3</v>
      </c>
      <c r="R49">
        <f>bdt!R49+$C$1</f>
        <v>2.3564802983304356E-3</v>
      </c>
      <c r="T49">
        <f>bdt!T49+$C$1</f>
        <v>7.4141243581358693E-3</v>
      </c>
      <c r="V49">
        <f>bdt!V49+$C$1</f>
        <v>4.1654785916980294E-3</v>
      </c>
      <c r="X49">
        <f>bdt!X49+$C$1</f>
        <v>5.1680936821878274E-3</v>
      </c>
      <c r="Z49">
        <f>bdt!Z49+$C$1</f>
        <v>2.7980704304924049E-3</v>
      </c>
    </row>
    <row r="50" spans="6:26" x14ac:dyDescent="0.25">
      <c r="G50">
        <f>bdt!G50+$C$1</f>
        <v>-4.1404300422034175E-4</v>
      </c>
      <c r="I50">
        <f>bdt!I50+$C$1</f>
        <v>-7.5860660442725325E-4</v>
      </c>
      <c r="K50">
        <f>bdt!K50+$C$1</f>
        <v>-6.085201711267241E-4</v>
      </c>
      <c r="M50">
        <f>bdt!M50+$C$1</f>
        <v>-9.4868904436321184E-4</v>
      </c>
      <c r="O50">
        <f>bdt!O50+$C$1</f>
        <v>-2.2883405196364196E-3</v>
      </c>
      <c r="Q50">
        <f>bdt!Q50+$C$1</f>
        <v>4.5787718825563081E-3</v>
      </c>
      <c r="S50">
        <f>bdt!S50+$C$1</f>
        <v>4.6868785720758834E-3</v>
      </c>
      <c r="U50">
        <f>bdt!U50+$C$1</f>
        <v>5.3501110213962418E-3</v>
      </c>
      <c r="W50">
        <f>bdt!W50+$C$1</f>
        <v>3.0581189721615178E-3</v>
      </c>
      <c r="Y50">
        <f>bdt!Y50+$C$1</f>
        <v>1.9310767766118815E-3</v>
      </c>
    </row>
    <row r="51" spans="6:26" x14ac:dyDescent="0.25">
      <c r="H51">
        <f>bdt!H51+$C$1</f>
        <v>-1.0170918361798295E-3</v>
      </c>
      <c r="J51">
        <f>bdt!J51+$C$1</f>
        <v>-8.7255965541512145E-4</v>
      </c>
      <c r="L51">
        <f>bdt!L51+$C$1</f>
        <v>-1.3668821970434985E-3</v>
      </c>
      <c r="N51">
        <f>bdt!N51+$C$1</f>
        <v>-1.6448656299269909E-3</v>
      </c>
      <c r="P51">
        <f>bdt!P51+$C$1</f>
        <v>3.0654287214184912E-5</v>
      </c>
      <c r="R51">
        <f>bdt!R51+$C$1</f>
        <v>1.6686029297314359E-4</v>
      </c>
      <c r="T51">
        <f>bdt!T51+$C$1</f>
        <v>3.1870950162125847E-3</v>
      </c>
      <c r="V51">
        <f>bdt!V51+$C$1</f>
        <v>1.3419605069448282E-3</v>
      </c>
      <c r="X51">
        <f>bdt!X51+$C$1</f>
        <v>2.096982552142758E-3</v>
      </c>
      <c r="Z51">
        <f>bdt!Z51+$C$1</f>
        <v>7.80385047721926E-4</v>
      </c>
    </row>
    <row r="52" spans="6:26" x14ac:dyDescent="0.25">
      <c r="I52">
        <f>bdt!I52+$C$1</f>
        <v>-1.6297129378779176E-3</v>
      </c>
      <c r="K52">
        <f>bdt!K52+$C$1</f>
        <v>-1.5607629247089108E-3</v>
      </c>
      <c r="M52">
        <f>bdt!M52+$C$1</f>
        <v>-1.8031492600404549E-3</v>
      </c>
      <c r="O52">
        <f>bdt!O52+$C$1</f>
        <v>-1.8905053678135101E-3</v>
      </c>
      <c r="Q52">
        <f>bdt!Q52+$C$1</f>
        <v>1.3596423222291755E-3</v>
      </c>
      <c r="S52">
        <f>bdt!S52+$C$1</f>
        <v>1.6381010513566636E-3</v>
      </c>
      <c r="U52">
        <f>bdt!U52+$C$1</f>
        <v>2.0147966901569382E-3</v>
      </c>
      <c r="W52">
        <f>bdt!W52+$C$1</f>
        <v>8.4662811580147809E-4</v>
      </c>
      <c r="Y52">
        <f>bdt!Y52+$C$1</f>
        <v>1.7875862688895763E-4</v>
      </c>
    </row>
    <row r="53" spans="6:26" x14ac:dyDescent="0.25">
      <c r="J53">
        <f>bdt!J53+$C$1</f>
        <v>-1.6820645346105811E-3</v>
      </c>
      <c r="L53">
        <f>bdt!L53+$C$1</f>
        <v>-1.9699345345976617E-3</v>
      </c>
      <c r="N53">
        <f>bdt!N53+$C$1</f>
        <v>-2.0808000826133878E-3</v>
      </c>
      <c r="P53">
        <f>bdt!P53+$C$1</f>
        <v>-1.0814888322829895E-3</v>
      </c>
      <c r="R53">
        <f>bdt!R53+$C$1</f>
        <v>-1.0083821068000447E-3</v>
      </c>
      <c r="T53">
        <f>bdt!T53+$C$1</f>
        <v>7.8626660995326962E-4</v>
      </c>
      <c r="V53">
        <f>bdt!V53+$C$1</f>
        <v>-2.6171510367717929E-4</v>
      </c>
      <c r="X53">
        <f>bdt!X53+$C$1</f>
        <v>2.7707948221685061E-4</v>
      </c>
      <c r="Z53">
        <f>bdt!Z53+$C$1</f>
        <v>-4.4956836455801704E-4</v>
      </c>
    </row>
    <row r="54" spans="6:26" x14ac:dyDescent="0.25">
      <c r="K54">
        <f>bdt!K54+$C$1</f>
        <v>-1.9982304041797866E-3</v>
      </c>
      <c r="M54">
        <f>bdt!M54+$C$1</f>
        <v>-2.1439271901631664E-3</v>
      </c>
      <c r="O54">
        <f>bdt!O54+$C$1</f>
        <v>-2.1787670271034838E-3</v>
      </c>
      <c r="Q54">
        <f>bdt!Q54+$C$1</f>
        <v>-3.6817405336297092E-4</v>
      </c>
      <c r="S54">
        <f>bdt!S54+$C$1</f>
        <v>3.3855969583718444E-3</v>
      </c>
      <c r="U54">
        <f>bdt!U54+$C$1</f>
        <v>1.2043594848898604E-4</v>
      </c>
      <c r="W54">
        <f>bdt!W54+$C$1</f>
        <v>-4.63870733410907E-4</v>
      </c>
      <c r="Y54">
        <f>bdt!Y54+$C$1</f>
        <v>3.0069700837576101E-3</v>
      </c>
    </row>
    <row r="55" spans="6:26" x14ac:dyDescent="0.25">
      <c r="L55">
        <f>bdt!L55+$C$1</f>
        <v>-2.2104450841806764E-3</v>
      </c>
      <c r="N55">
        <f>bdt!N55+$C$1</f>
        <v>-2.2546605599345643E-3</v>
      </c>
      <c r="P55">
        <f>bdt!P55+$C$1</f>
        <v>-1.6784131113030494E-3</v>
      </c>
      <c r="R55">
        <f>bdt!R55+$C$1</f>
        <v>-1.6391740683483064E-3</v>
      </c>
      <c r="T55">
        <f>bdt!T55+$C$1</f>
        <v>-5.7733334880145904E-4</v>
      </c>
      <c r="V55">
        <f>bdt!V55+$C$1</f>
        <v>-1.1725559011883646E-3</v>
      </c>
      <c r="X55">
        <f>bdt!X55+$C$1</f>
        <v>-8.0137292268754536E-4</v>
      </c>
      <c r="Z55">
        <f>bdt!Z55+$C$1</f>
        <v>-1.19933114189542E-3</v>
      </c>
    </row>
    <row r="56" spans="6:26" x14ac:dyDescent="0.25">
      <c r="M56">
        <f>bdt!M56+$C$1</f>
        <v>-2.2798370845362776E-3</v>
      </c>
      <c r="O56">
        <f>bdt!O56+$C$1</f>
        <v>-2.2937320973624238E-3</v>
      </c>
      <c r="Q56">
        <f>bdt!Q56+$C$1</f>
        <v>-1.2955518962917334E-3</v>
      </c>
      <c r="S56">
        <f>bdt!S56+$C$1</f>
        <v>-1.0770233027857516E-3</v>
      </c>
      <c r="U56">
        <f>bdt!U56+$C$1</f>
        <v>-9.5550540611171234E-4</v>
      </c>
      <c r="W56">
        <f>bdt!W56+$C$1</f>
        <v>-1.2404541991972971E-3</v>
      </c>
      <c r="Y56">
        <f>bdt!Y56+$C$1</f>
        <v>-1.4749820688224752E-3</v>
      </c>
    </row>
    <row r="57" spans="6:26" x14ac:dyDescent="0.25">
      <c r="N57">
        <f>bdt!N57+$C$1</f>
        <v>-2.3240000337661783E-3</v>
      </c>
      <c r="P57">
        <f>bdt!P57+$C$1</f>
        <v>-1.9988022668325266E-3</v>
      </c>
      <c r="R57">
        <f>bdt!R57+$C$1</f>
        <v>-1.9777412429419863E-3</v>
      </c>
      <c r="T57">
        <f>bdt!T57+$C$1</f>
        <v>-1.3518180402805173E-3</v>
      </c>
      <c r="V57">
        <f>bdt!V57+$C$1</f>
        <v>-1.6898868083342496E-3</v>
      </c>
      <c r="X57">
        <f>bdt!X57+$C$1</f>
        <v>-1.4404506894454333E-3</v>
      </c>
      <c r="Z57">
        <f>bdt!Z57+$C$1</f>
        <v>-1.656376276018557E-3</v>
      </c>
    </row>
    <row r="58" spans="6:26" x14ac:dyDescent="0.25">
      <c r="O58">
        <f>bdt!O58+$C$1</f>
        <v>-2.3395826881492739E-3</v>
      </c>
      <c r="Q58">
        <f>bdt!Q58+$C$1</f>
        <v>-1.793307141411724E-3</v>
      </c>
      <c r="S58">
        <f>bdt!S58+$C$1</f>
        <v>-1.6356269756446131E-3</v>
      </c>
      <c r="U58">
        <f>bdt!U58+$C$1</f>
        <v>-1.5666085466469733E-3</v>
      </c>
      <c r="W58">
        <f>bdt!W58+$C$1</f>
        <v>-1.7006468042463242E-3</v>
      </c>
      <c r="Y58">
        <f>bdt!Y58+$C$1</f>
        <v>-1.8396247493852008E-3</v>
      </c>
    </row>
    <row r="59" spans="6:26" x14ac:dyDescent="0.25">
      <c r="P59">
        <f>bdt!P59+$C$1</f>
        <v>-2.1707658049037299E-3</v>
      </c>
      <c r="R59">
        <f>bdt!R59+$C$1</f>
        <v>-2.1594615860975911E-3</v>
      </c>
      <c r="T59">
        <f>bdt!T59+$C$1</f>
        <v>-1.7917025778858026E-3</v>
      </c>
      <c r="V59">
        <f>bdt!V59+$C$1</f>
        <v>-1.9837156181763973E-3</v>
      </c>
      <c r="X59">
        <f>bdt!X59+$C$1</f>
        <v>-1.8191603943029746E-3</v>
      </c>
      <c r="Z59">
        <f>bdt!Z59+$C$1</f>
        <v>-1.9349847385077971E-3</v>
      </c>
    </row>
    <row r="60" spans="6:26" x14ac:dyDescent="0.25">
      <c r="Q60">
        <f>bdt!Q60+$C$1</f>
        <v>-2.0604693190867988E-3</v>
      </c>
      <c r="S60">
        <f>bdt!S60+$C$1</f>
        <v>-1.9528975571927764E-3</v>
      </c>
      <c r="U60">
        <f>bdt!U60+$C$1</f>
        <v>-1.9136972116334133E-3</v>
      </c>
      <c r="W60">
        <f>bdt!W60+$C$1</f>
        <v>-1.9733505676819241E-3</v>
      </c>
      <c r="Y60">
        <f>bdt!Y60+$C$1</f>
        <v>-2.0557069599771889E-3</v>
      </c>
    </row>
    <row r="61" spans="6:26" x14ac:dyDescent="0.25">
      <c r="R61">
        <f>bdt!R61+$C$1</f>
        <v>-2.2569969811228811E-3</v>
      </c>
      <c r="T61">
        <f>bdt!T61+$C$1</f>
        <v>-2.041544064170943E-3</v>
      </c>
      <c r="V61">
        <f>bdt!V61+$C$1</f>
        <v>-2.1506017800134412E-3</v>
      </c>
      <c r="X61">
        <f>bdt!X61+$C$1</f>
        <v>-2.0435791552323003E-3</v>
      </c>
      <c r="Z61">
        <f>bdt!Z61+$C$1</f>
        <v>-2.1048206465511922E-3</v>
      </c>
    </row>
    <row r="62" spans="6:26" x14ac:dyDescent="0.25">
      <c r="S62">
        <f>bdt!S62+$C$1</f>
        <v>-2.133097986954977E-3</v>
      </c>
      <c r="U62">
        <f>bdt!U62+$C$1</f>
        <v>-2.1108333959713793E-3</v>
      </c>
      <c r="W62">
        <f>bdt!W62+$C$1</f>
        <v>-2.1349510405622232E-3</v>
      </c>
      <c r="Y62">
        <f>bdt!Y62+$C$1</f>
        <v>-2.1837542902081561E-3</v>
      </c>
    </row>
    <row r="63" spans="6:26" x14ac:dyDescent="0.25">
      <c r="T63">
        <f>bdt!T63+$C$1</f>
        <v>-2.1834466839106234E-3</v>
      </c>
      <c r="V63">
        <f>bdt!V63+$C$1</f>
        <v>-2.2453882341656474E-3</v>
      </c>
      <c r="X63">
        <f>bdt!X63+$C$1</f>
        <v>-2.1765669810288406E-3</v>
      </c>
      <c r="Z63">
        <f>bdt!Z63+$C$1</f>
        <v>-2.2083502931499145E-3</v>
      </c>
    </row>
    <row r="64" spans="6:26" x14ac:dyDescent="0.25">
      <c r="U64">
        <f>bdt!U64+$C$1</f>
        <v>-2.2228009682251455E-3</v>
      </c>
      <c r="W64">
        <f>bdt!W64+$C$1</f>
        <v>-2.2307132423966818E-3</v>
      </c>
      <c r="Y64">
        <f>bdt!Y64+$C$1</f>
        <v>-2.2596333675942997E-3</v>
      </c>
    </row>
    <row r="65" spans="22:26" x14ac:dyDescent="0.25">
      <c r="V65">
        <f>bdt!V65+$C$1</f>
        <v>-2.2992241651490753E-3</v>
      </c>
      <c r="X65">
        <f>bdt!X65+$C$1</f>
        <v>-2.2553739476873034E-3</v>
      </c>
      <c r="Z65">
        <f>bdt!Z65+$C$1</f>
        <v>-2.2796146327929701E-3</v>
      </c>
    </row>
    <row r="66" spans="22:26" x14ac:dyDescent="0.25">
      <c r="W66">
        <f>bdt!W66+$C$1</f>
        <v>-2.2874605967622614E-3</v>
      </c>
      <c r="Y66">
        <f>bdt!Y66+$C$1</f>
        <v>-2.3045982596743369E-3</v>
      </c>
    </row>
    <row r="67" spans="22:26" x14ac:dyDescent="0.25">
      <c r="X67">
        <f>bdt!X67+$C$1</f>
        <v>-2.3020739967835996E-3</v>
      </c>
      <c r="Z67">
        <f>bdt!Z67+$C$1</f>
        <v>-2.3099316988671056E-3</v>
      </c>
    </row>
    <row r="68" spans="22:26" x14ac:dyDescent="0.25">
      <c r="Y68">
        <f>bdt!Y68+$C$1</f>
        <v>-2.3312438329920037E-3</v>
      </c>
    </row>
    <row r="69" spans="22:26" x14ac:dyDescent="0.25">
      <c r="Z69">
        <f>bdt!Z69+$C$1</f>
        <v>-2.3333831852184921E-3</v>
      </c>
    </row>
  </sheetData>
  <phoneticPr fontId="1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5:Z69"/>
  <sheetViews>
    <sheetView topLeftCell="A13" workbookViewId="0">
      <selection activeCell="A44" sqref="A44"/>
    </sheetView>
  </sheetViews>
  <sheetFormatPr defaultColWidth="8.85546875" defaultRowHeight="15" x14ac:dyDescent="0.25"/>
  <sheetData>
    <row r="5" spans="4:4" x14ac:dyDescent="0.25">
      <c r="D5">
        <v>0.02</v>
      </c>
    </row>
    <row r="19" spans="13:26" x14ac:dyDescent="0.25">
      <c r="Z19">
        <f>100*(1+$D$5)</f>
        <v>102</v>
      </c>
    </row>
    <row r="20" spans="13:26" x14ac:dyDescent="0.25">
      <c r="Y20">
        <f>MIN(100,0.5*(Z19+Z21)*EXP(-OASrts!Y20*0.5))+100*$D$5</f>
        <v>2.4125484612617005</v>
      </c>
    </row>
    <row r="21" spans="13:26" x14ac:dyDescent="0.25">
      <c r="X21">
        <f>MIN(100,0.5*(Y20+Y22)*EXP(-OASrts!X21*0.5))+100*$D$5</f>
        <v>2.0135884884946371</v>
      </c>
      <c r="Z21">
        <f>100*(1+$D$5)</f>
        <v>102</v>
      </c>
    </row>
    <row r="22" spans="13:26" x14ac:dyDescent="0.25">
      <c r="W22">
        <f>MIN(100,0.5*(X21+X23)*EXP(-OASrts!W22*0.5))+100*$D$5</f>
        <v>2.0356704280482472</v>
      </c>
      <c r="Y22">
        <f>MIN(100,0.5*(Z21+Z23)*EXP(-OASrts!Y22*0.5))+100*$D$5</f>
        <v>5.8965202616944197</v>
      </c>
    </row>
    <row r="23" spans="13:26" x14ac:dyDescent="0.25">
      <c r="V23">
        <f>MIN(100,0.5*(W22+W24)*EXP(-OASrts!V23*0.5))+100*$D$5</f>
        <v>2.0132858274377323</v>
      </c>
      <c r="X23">
        <f>MIN(100,0.5*(Y22+Y24)*EXP(-OASrts!X23*0.5))+100*$D$5</f>
        <v>2.3812821581190207</v>
      </c>
      <c r="Z23">
        <f t="shared" ref="Z23" si="0">100*(1+$D$5)</f>
        <v>102</v>
      </c>
    </row>
    <row r="24" spans="13:26" x14ac:dyDescent="0.25">
      <c r="U24">
        <f>MIN(100,0.5*(V23+V25)*EXP(-OASrts!U24*0.5))+100*$D$5</f>
        <v>2.0050553794832151</v>
      </c>
      <c r="W24">
        <f>MIN(100,0.5*(X23+X25)*EXP(-OASrts!W24*0.5))+100*$D$5</f>
        <v>2.3400572033735045</v>
      </c>
      <c r="Y24">
        <f>MIN(100,0.5*(Z23+Z25)*EXP(-OASrts!Y24*0.5))+100*$D$5</f>
        <v>16.742398303500654</v>
      </c>
    </row>
    <row r="25" spans="13:26" x14ac:dyDescent="0.25">
      <c r="T25">
        <f>MIN(100,0.5*(U24+U26)*EXP(-OASrts!T25*0.5))+100*$D$5</f>
        <v>2.0267283686420954</v>
      </c>
      <c r="V25">
        <f>MIN(100,0.5*(W24+W26)*EXP(-OASrts!V25*0.5))+100*$D$5</f>
        <v>2.1872245872165696</v>
      </c>
      <c r="X25">
        <f>MIN(100,0.5*(Y24+Y26)*EXP(-OASrts!X25*0.5))+100*$D$5</f>
        <v>5.4326400921480662</v>
      </c>
      <c r="Z25">
        <f t="shared" ref="Z25" si="1">100*(1+$D$5)</f>
        <v>102</v>
      </c>
    </row>
    <row r="26" spans="13:26" x14ac:dyDescent="0.25">
      <c r="S26">
        <f>MIN(100,0.5*(T25+T27)*EXP(-OASrts!S26*0.5))+100*$D$5</f>
        <v>2.092745034686565</v>
      </c>
      <c r="U26">
        <f>MIN(100,0.5*(V25+V27)*EXP(-OASrts!U26*0.5))+100*$D$5</f>
        <v>2.0943881735653891</v>
      </c>
      <c r="W26">
        <f>MIN(100,0.5*(X25+X27)*EXP(-OASrts!W26*0.5))+100*$D$5</f>
        <v>4.4543635459726918</v>
      </c>
      <c r="Y26">
        <f>MIN(100,0.5*(Z25+Z27)*EXP(-OASrts!Y26*0.5))+100*$D$5</f>
        <v>34.43534160552943</v>
      </c>
    </row>
    <row r="27" spans="13:26" x14ac:dyDescent="0.25">
      <c r="R27">
        <f>MIN(100,0.5*(S26+S28)*EXP(-OASrts!R27*0.5))+100*$D$5</f>
        <v>2.2481351774328857</v>
      </c>
      <c r="T27">
        <f>MIN(100,0.5*(U26+U28)*EXP(-OASrts!T27*0.5))+100*$D$5</f>
        <v>2.2149965263318059</v>
      </c>
      <c r="V27">
        <f>MIN(100,0.5*(W26+W28)*EXP(-OASrts!V27*0.5))+100*$D$5</f>
        <v>3.6066202159184284</v>
      </c>
      <c r="X27">
        <f>MIN(100,0.5*(Y26+Y28)*EXP(-OASrts!X27*0.5))+100*$D$5</f>
        <v>15.415661072846623</v>
      </c>
      <c r="Z27">
        <f t="shared" ref="Z27" si="2">100*(1+$D$5)</f>
        <v>102</v>
      </c>
    </row>
    <row r="28" spans="13:26" x14ac:dyDescent="0.25">
      <c r="Q28">
        <f>MIN(100,0.5*(R27+R29)*EXP(-OASrts!Q28*0.5))+100*$D$5</f>
        <v>2.1006277584780215</v>
      </c>
      <c r="S28">
        <f>MIN(100,0.5*(T27+T29)*EXP(-OASrts!S28*0.5))+100*$D$5</f>
        <v>2.4667205868258697</v>
      </c>
      <c r="U28">
        <f>MIN(100,0.5*(V27+V29)*EXP(-OASrts!U28*0.5))+100*$D$5</f>
        <v>2.9604360044696612</v>
      </c>
      <c r="W28">
        <f>MIN(100,0.5*(X27+X29)*EXP(-OASrts!W28*0.5))+100*$D$5</f>
        <v>12.20504053896655</v>
      </c>
      <c r="Y28">
        <f>MIN(100,0.5*(Z27+Z29)*EXP(-OASrts!Y28*0.5))+100*$D$5</f>
        <v>53.754701735990444</v>
      </c>
    </row>
    <row r="29" spans="13:26" x14ac:dyDescent="0.25">
      <c r="P29">
        <f>MIN(100,0.5*(Q28+Q30)*EXP(-OASrts!P29*0.5))+100*$D$5</f>
        <v>2.7890505220487025</v>
      </c>
      <c r="R29">
        <f>MIN(100,0.5*(S28+S30)*EXP(-OASrts!R29*0.5))+100*$D$5</f>
        <v>3.000473973147173</v>
      </c>
      <c r="T29">
        <f>MIN(100,0.5*(U28+U30)*EXP(-OASrts!T29*0.5))+100*$D$5</f>
        <v>3.3040358678658501</v>
      </c>
      <c r="V29">
        <f>MIN(100,0.5*(W28+W30)*EXP(-OASrts!V29*0.5))+100*$D$5</f>
        <v>9.8166841350166223</v>
      </c>
      <c r="X29">
        <f>MIN(100,0.5*(Y28+Y30)*EXP(-OASrts!X29*0.5))+100*$D$5</f>
        <v>32.650504297149183</v>
      </c>
      <c r="Z29">
        <f t="shared" ref="Z29" si="3">100*(1+$D$5)</f>
        <v>102</v>
      </c>
    </row>
    <row r="30" spans="13:26" x14ac:dyDescent="0.25">
      <c r="O30">
        <f>0.5*(P29+P31)*EXP(-OASrts!O30*0.5)+100*$D$5</f>
        <v>2.009783254413271</v>
      </c>
      <c r="Q30">
        <f>MIN(100,0.5*(R29+R31)*EXP(-OASrts!Q30*0.5))+100*$D$5</f>
        <v>2.7646266694009851</v>
      </c>
      <c r="S30">
        <f>MIN(100,0.5*(T29+T31)*EXP(-OASrts!S30*0.5))+100*$D$5</f>
        <v>4.1095053239959398</v>
      </c>
      <c r="U30">
        <f>MIN(100,0.5*(V29+V31)*EXP(-OASrts!U30*0.5))+100*$D$5</f>
        <v>7.606879482980287</v>
      </c>
      <c r="W30">
        <f>MIN(100,0.5*(X29+X31)*EXP(-OASrts!W30*0.5))+100*$D$5</f>
        <v>27.584426255202889</v>
      </c>
      <c r="Y30">
        <f>MIN(100,0.5*(Z29+Z31)*EXP(-OASrts!Y30*0.5))+100*$D$5</f>
        <v>70.265945954846231</v>
      </c>
    </row>
    <row r="31" spans="13:26" x14ac:dyDescent="0.25">
      <c r="N31">
        <f>0.5*(O30+O32)*EXP(-OASrts!N31*0.5)+100*$D$5</f>
        <v>2.0665984896162777</v>
      </c>
      <c r="P31">
        <f>MIN(100,0.5*(Q30+Q32)*EXP(-OASrts!P31*0.5))+100*$D$5</f>
        <v>4.3773047437979891</v>
      </c>
      <c r="R31">
        <f>MIN(100,0.5*(S30+S32)*EXP(-OASrts!R31*0.5))+100*$D$5</f>
        <v>5.7981653463059137</v>
      </c>
      <c r="T31">
        <f>MIN(100,0.5*(U30+U32)*EXP(-OASrts!T31*0.5))+100*$D$5</f>
        <v>8.2659950048963715</v>
      </c>
      <c r="V31">
        <f>MIN(100,0.5*(W30+W32)*EXP(-OASrts!V31*0.5))+100*$D$5</f>
        <v>23.997675908385421</v>
      </c>
      <c r="X31">
        <f>MIN(100,0.5*(Y30+Y32)*EXP(-OASrts!X31*0.5))+100*$D$5</f>
        <v>52.313493849785132</v>
      </c>
      <c r="Z31">
        <f t="shared" ref="Z31" si="4">100*(1+$D$5)</f>
        <v>102</v>
      </c>
    </row>
    <row r="32" spans="13:26" x14ac:dyDescent="0.25">
      <c r="M32">
        <f>0.5*(N31+N33)*EXP(-OASrts!M32*0.5)+100*$D$5</f>
        <v>2.1671491202666764</v>
      </c>
      <c r="O32">
        <f>0.5*(P31+P33)*EXP(-OASrts!O32*0.5)+100*$D$5</f>
        <v>2.6737415304122294</v>
      </c>
      <c r="Q32">
        <f>MIN(100,0.5*(R31+R33)*EXP(-OASrts!Q32*0.5))+100*$D$5</f>
        <v>5.9314495129256439</v>
      </c>
      <c r="S32">
        <f>MIN(100,0.5*(T31+T33)*EXP(-OASrts!S32*0.5))+100*$D$5</f>
        <v>10.269128212719423</v>
      </c>
      <c r="U32">
        <f>MIN(100,0.5*(V31+V33)*EXP(-OASrts!U32*0.5))+100*$D$5</f>
        <v>20.121358844949199</v>
      </c>
      <c r="W32">
        <f>MIN(100,0.5*(X31+X33)*EXP(-OASrts!W32*0.5))+100*$D$5</f>
        <v>47.166919661474651</v>
      </c>
      <c r="Y32">
        <f>MIN(100,0.5*(Z31+Z33)*EXP(-OASrts!Y32*0.5))+100*$D$5</f>
        <v>82.438719689870638</v>
      </c>
    </row>
    <row r="33" spans="1:26" x14ac:dyDescent="0.25">
      <c r="L33">
        <f>0.5*(M32+M34)*EXP(-OASrts!L33*0.5)+100*$D$5</f>
        <v>2.4627276695695359</v>
      </c>
      <c r="N33">
        <f>0.5*(O32+O34)*EXP(-OASrts!N33*0.5)+100*$D$5</f>
        <v>3.336228923889399</v>
      </c>
      <c r="P33">
        <f>MIN(100,0.5*(Q32+Q34)*EXP(-OASrts!P33*0.5))+100*$D$5</f>
        <v>9.8037193093444337</v>
      </c>
      <c r="R33">
        <f>MIN(100,0.5*(S32+S34)*EXP(-OASrts!R33*0.5))+100*$D$5</f>
        <v>14.303305477425992</v>
      </c>
      <c r="T33">
        <f>MIN(100,0.5*(U32+U34)*EXP(-OASrts!T33*0.5))+100*$D$5</f>
        <v>21.050292177734342</v>
      </c>
      <c r="V33">
        <f>MIN(100,0.5*(W32+W34)*EXP(-OASrts!V33*0.5))+100*$D$5</f>
        <v>43.806296156917362</v>
      </c>
      <c r="X33">
        <f>MIN(100,0.5*(Y32+Y34)*EXP(-OASrts!X33*0.5))+100*$D$5</f>
        <v>69.626342690690919</v>
      </c>
      <c r="Z33">
        <f t="shared" ref="Z33" si="5">100*(1+$D$5)</f>
        <v>102</v>
      </c>
    </row>
    <row r="34" spans="1:26" x14ac:dyDescent="0.25">
      <c r="K34">
        <f>0.5*(L33+L35)*EXP(-OASrts!K34*0.5)+100*$D$5</f>
        <v>4.9122893560372818</v>
      </c>
      <c r="M34">
        <f>0.5*(N33+N35)*EXP(-OASrts!M34*0.5)+100*$D$5</f>
        <v>4.4265002989785467</v>
      </c>
      <c r="O34">
        <f>0.5*(P33+P35)*EXP(-OASrts!O34*0.5)+100*$D$5</f>
        <v>8.3724451416712089</v>
      </c>
      <c r="Q34">
        <f>MIN(100,0.5*(R33+R35)*EXP(-OASrts!Q34*0.5))+100*$D$5</f>
        <v>15.637512848863873</v>
      </c>
      <c r="S34">
        <f>MIN(100,0.5*(T33+T35)*EXP(-OASrts!S34*0.5))+100*$D$5</f>
        <v>24.368617605643795</v>
      </c>
      <c r="U34">
        <f>MIN(100,0.5*(V33+V35)*EXP(-OASrts!U34*0.5))+100*$D$5</f>
        <v>39.665209978905551</v>
      </c>
      <c r="W34">
        <f>MIN(100,0.5*(X33+X35)*EXP(-OASrts!W34*0.5))+100*$D$5</f>
        <v>65.761474247834542</v>
      </c>
      <c r="Y34">
        <f>MIN(100,0.5*(Z33+Z35)*EXP(-OASrts!Y34*0.5))+100*$D$5</f>
        <v>90.653003677464852</v>
      </c>
    </row>
    <row r="35" spans="1:26" x14ac:dyDescent="0.25">
      <c r="J35">
        <f>0.5*(K34+K36)*EXP(-OASrts!J35*0.5)+100*$D$5</f>
        <v>8.3988584206840713</v>
      </c>
      <c r="L35">
        <f>0.5*(M34+M36)*EXP(-OASrts!L35*0.5)+100*$D$5</f>
        <v>6.605519006179339</v>
      </c>
      <c r="N35">
        <f>0.5*(O34+O36)*EXP(-OASrts!N35*0.5)+100*$D$5</f>
        <v>11.375805154410019</v>
      </c>
      <c r="P35">
        <f>MIN(100,0.5*(Q34+Q36)*EXP(-OASrts!P35*0.5))+100*$D$5</f>
        <v>22.757166769768467</v>
      </c>
      <c r="R35">
        <f>MIN(100,0.5*(S34+S36)*EXP(-OASrts!R35*0.5))+100*$D$5</f>
        <v>30.811986281555718</v>
      </c>
      <c r="T35">
        <f>MIN(100,0.5*(U34+U36)*EXP(-OASrts!T35*0.5))+100*$D$5</f>
        <v>40.844666433154046</v>
      </c>
      <c r="V35">
        <f>MIN(100,0.5*(W34+W36)*EXP(-OASrts!V35*0.5))+100*$D$5</f>
        <v>63.655872518625372</v>
      </c>
      <c r="X35">
        <f>MIN(100,0.5*(Y34+Y36)*EXP(-OASrts!X35*0.5))+100*$D$5</f>
        <v>82.635040102356811</v>
      </c>
      <c r="Z35">
        <f t="shared" ref="Z35" si="6">100*(1+$D$5)</f>
        <v>102</v>
      </c>
    </row>
    <row r="36" spans="1:26" x14ac:dyDescent="0.25">
      <c r="I36">
        <f>0.5*(J35+J37)*EXP(-OASrts!I36*0.5)+100*$D$5</f>
        <v>14.717367152844709</v>
      </c>
      <c r="K36">
        <f>0.5*(L35+L37)*EXP(-OASrts!K36*0.5)+100*$D$5</f>
        <v>13.729819548685725</v>
      </c>
      <c r="M36">
        <f>0.5*(N35+N37)*EXP(-OASrts!M36*0.5)+100*$D$5</f>
        <v>15.715508931228461</v>
      </c>
      <c r="O36">
        <f>0.5*(P35+P37)*EXP(-OASrts!O36*0.5)+100*$D$5</f>
        <v>24.628327129607435</v>
      </c>
      <c r="Q36">
        <f>MIN(100,0.5*(R35+R37)*EXP(-OASrts!Q36*0.5))+100*$D$5</f>
        <v>33.72183452971769</v>
      </c>
      <c r="S36">
        <f>MIN(100,0.5*(T35+T37)*EXP(-OASrts!S36*0.5))+100*$D$5</f>
        <v>44.825397650484838</v>
      </c>
      <c r="U36">
        <f>MIN(100,0.5*(V35+V37)*EXP(-OASrts!U36*0.5))+100*$D$5</f>
        <v>60.62879937130657</v>
      </c>
      <c r="W36">
        <f>MIN(100,0.5*(X35+X37)*EXP(-OASrts!W36*0.5))+100*$D$5</f>
        <v>80.429363280167266</v>
      </c>
      <c r="Y36">
        <f>MIN(100,0.5*(Z35+Z37)*EXP(-OASrts!Y36*0.5))+100*$D$5</f>
        <v>95.911194457977984</v>
      </c>
    </row>
    <row r="37" spans="1:26" x14ac:dyDescent="0.25">
      <c r="H37">
        <f>0.5*(I36+I38)*EXP(-OASrts!H37*0.5)+100*$D$5</f>
        <v>22.641281709087348</v>
      </c>
      <c r="J37">
        <f>0.5*(K36+K38)*EXP(-OASrts!J37*0.5)+100*$D$5</f>
        <v>22.215674695173313</v>
      </c>
      <c r="L37">
        <f>0.5*(M36+M38)*EXP(-OASrts!L37*0.5)+100*$D$5</f>
        <v>22.126639777458539</v>
      </c>
      <c r="N37">
        <f>0.5*(O36+O38)*EXP(-OASrts!N37*0.5)+100*$D$5</f>
        <v>31.285124043343004</v>
      </c>
      <c r="P37">
        <f>MIN(100,0.5*(Q36+Q38)*EXP(-OASrts!P37*0.5))+100*$D$5</f>
        <v>42.983968543511075</v>
      </c>
      <c r="R37">
        <f>MIN(100,0.5*(S36+S38)*EXP(-OASrts!R37*0.5))+100*$D$5</f>
        <v>52.260596859110656</v>
      </c>
      <c r="T37">
        <f>MIN(100,0.5*(U36+U38)*EXP(-OASrts!T37*0.5))+100*$D$5</f>
        <v>62.095548558221616</v>
      </c>
      <c r="V37">
        <f>MIN(100,0.5*(W36+W38)*EXP(-OASrts!V37*0.5))+100*$D$5</f>
        <v>79.743791458876998</v>
      </c>
      <c r="X37">
        <f>MIN(100,0.5*(Y36+Y38)*EXP(-OASrts!X37*0.5))+100*$D$5</f>
        <v>91.517170342147566</v>
      </c>
      <c r="Z37">
        <f t="shared" ref="Z37" si="7">100*(1+$D$5)</f>
        <v>102</v>
      </c>
    </row>
    <row r="38" spans="1:26" x14ac:dyDescent="0.25">
      <c r="G38">
        <f>0.5*(H37+H39)*EXP(-OASrts!G38*0.5)+100*$D$5</f>
        <v>33.785251514313003</v>
      </c>
      <c r="I38">
        <f>0.5*(J37+J39)*EXP(-OASrts!I38*0.5)+100*$D$5</f>
        <v>33.507612617962792</v>
      </c>
      <c r="K38">
        <f>0.5*(L37+L39)*EXP(-OASrts!K38*0.5)+100*$D$5</f>
        <v>34.297684728801414</v>
      </c>
      <c r="M38">
        <f>0.5*(N37+N39)*EXP(-OASrts!M38*0.5)+100*$D$5</f>
        <v>39.239754548149612</v>
      </c>
      <c r="O38">
        <f>0.5*(P37+P39)*EXP(-OASrts!O38*0.5)+100*$D$5</f>
        <v>48.700178369576975</v>
      </c>
      <c r="Q38">
        <f>MIN(100,0.5*(R37+R39)*EXP(-OASrts!Q38*0.5))+100*$D$5</f>
        <v>56.176687738805548</v>
      </c>
      <c r="S38">
        <f>MIN(100,0.5*(T37+T39)*EXP(-OASrts!S38*0.5))+100*$D$5</f>
        <v>66.008072488816424</v>
      </c>
      <c r="U38">
        <f>MIN(100,0.5*(V37+V39)*EXP(-OASrts!U38*0.5))+100*$D$5</f>
        <v>78.253092902654103</v>
      </c>
      <c r="W38">
        <f>MIN(100,0.5*(X37+X39)*EXP(-OASrts!W38*0.5))+100*$D$5</f>
        <v>90.751547574605141</v>
      </c>
      <c r="Y38">
        <f>MIN(100,0.5*(Z37+Z39)*EXP(-OASrts!Y38*0.5))+100*$D$5</f>
        <v>99.173128985984306</v>
      </c>
    </row>
    <row r="39" spans="1:26" x14ac:dyDescent="0.25">
      <c r="F39">
        <f>0.5*(G38+G40)*EXP(-OASrts!F39*0.5)+100*$D$5</f>
        <v>45.922654209594057</v>
      </c>
      <c r="H39">
        <f>0.5*(I38+I40)*EXP(-OASrts!H39*0.5)+100*$D$5</f>
        <v>45.325802739662876</v>
      </c>
      <c r="J39">
        <f>0.5*(K38+K40)*EXP(-OASrts!J39*0.5)+100*$D$5</f>
        <v>46.356801037350856</v>
      </c>
      <c r="L39">
        <f>0.5*(M38+M40)*EXP(-OASrts!L39*0.5)+100*$D$5</f>
        <v>48.728702234295675</v>
      </c>
      <c r="N39">
        <f>0.5*(O38+O40)*EXP(-OASrts!N39*0.5)+100*$D$5</f>
        <v>57.474802425142315</v>
      </c>
      <c r="P39">
        <f>MIN(100,0.5*(Q38+Q40)*EXP(-OASrts!P39*0.5))+100*$D$5</f>
        <v>65.336372162350074</v>
      </c>
      <c r="R39">
        <f>MIN(100,0.5*(S38+S40)*EXP(-OASrts!R39*0.5))+100*$D$5</f>
        <v>72.891800743374063</v>
      </c>
      <c r="T39">
        <f>MIN(100,0.5*(U38+U40)*EXP(-OASrts!T39*0.5))+100*$D$5</f>
        <v>79.939969682850148</v>
      </c>
      <c r="V39">
        <f>MIN(100,0.5*(W38+W40)*EXP(-OASrts!V39*0.5))+100*$D$5</f>
        <v>91.143517750930272</v>
      </c>
      <c r="X39">
        <f>MIN(100,0.5*(Y38+Y40)*EXP(-OASrts!X39*0.5))+100*$D$5</f>
        <v>97.243583729659221</v>
      </c>
      <c r="Z39">
        <f t="shared" ref="Z39" si="8">100*(1+$D$5)</f>
        <v>102</v>
      </c>
    </row>
    <row r="40" spans="1:26" x14ac:dyDescent="0.25">
      <c r="E40">
        <f>0.5*(F39+F41)*EXP(-OASrts!E40*0.5)+100*$D$5</f>
        <v>59.09667758177725</v>
      </c>
      <c r="G40">
        <f>0.5*(H39+H41)*EXP(-OASrts!G40*0.5)+100*$D$5</f>
        <v>58.585627197374805</v>
      </c>
      <c r="I40">
        <f>0.5*(J39+J41)*EXP(-OASrts!I40*0.5)+100*$D$5</f>
        <v>59.498369139843142</v>
      </c>
      <c r="K40">
        <f>0.5*(L39+L41)*EXP(-OASrts!K40*0.5)+100*$D$5</f>
        <v>61.656236797777353</v>
      </c>
      <c r="M40">
        <f>0.5*(N39+N41)*EXP(-OASrts!M40*0.5)+100*$D$5</f>
        <v>66.497556795124154</v>
      </c>
      <c r="O40">
        <f>0.5*(P39+P41)*EXP(-OASrts!O40*0.5)+100*$D$5</f>
        <v>72.566019629097426</v>
      </c>
      <c r="Q40">
        <f>MIN(100,0.5*(R39+R41)*EXP(-OASrts!Q40*0.5))+100*$D$5</f>
        <v>76.860286486971304</v>
      </c>
      <c r="S40">
        <f>MIN(100,0.5*(T39+T41)*EXP(-OASrts!S40*0.5))+100*$D$5</f>
        <v>83.323701445829329</v>
      </c>
      <c r="U40">
        <f>MIN(100,0.5*(V39+V41)*EXP(-OASrts!U40*0.5))+100*$D$5</f>
        <v>90.87715782872742</v>
      </c>
      <c r="W40">
        <f>MIN(100,0.5*(X39+X41)*EXP(-OASrts!W40*0.5))+100*$D$5</f>
        <v>97.446739601629886</v>
      </c>
      <c r="Y40">
        <f>MIN(100,0.5*(Z39+Z41)*EXP(-OASrts!Y40*0.5))+100*$D$5</f>
        <v>101.15932064801012</v>
      </c>
    </row>
    <row r="41" spans="1:26" x14ac:dyDescent="0.25">
      <c r="D41">
        <f>0.5*(E40+E42)*EXP(-OASrts!D41*0.5)+100*$D$5</f>
        <v>71.75454266634101</v>
      </c>
      <c r="F41">
        <f>0.5*(G40+G42)*EXP(-OASrts!F41*0.5)+100*$D$5</f>
        <v>71.230842449882815</v>
      </c>
      <c r="H41">
        <f>0.5*(I40+I42)*EXP(-OASrts!H41*0.5)+100*$D$5</f>
        <v>71.569061308494895</v>
      </c>
      <c r="J41">
        <f>0.5*(K40+K42)*EXP(-OASrts!J41*0.5)+100*$D$5</f>
        <v>73.116146826805036</v>
      </c>
      <c r="L41">
        <f>0.5*(M40+M42)*EXP(-OASrts!L41*0.5)+100*$D$5</f>
        <v>75.683390815013937</v>
      </c>
      <c r="N41">
        <f>0.5*(O40+O42)*EXP(-OASrts!N41*0.5)+100*$D$5</f>
        <v>80.769173752806424</v>
      </c>
      <c r="P41">
        <f>MIN(100,0.5*(Q40+Q42)*EXP(-OASrts!P41*0.5))+100*$D$5</f>
        <v>84.282024874764389</v>
      </c>
      <c r="R41">
        <f>MIN(100,0.5*(S40+S42)*EXP(-OASrts!R41*0.5))+100*$D$5</f>
        <v>88.78245118580513</v>
      </c>
      <c r="T41">
        <f>MIN(100,0.5*(U40+U42)*EXP(-OASrts!T41*0.5))+100*$D$5</f>
        <v>92.508194300882295</v>
      </c>
      <c r="V41">
        <f>MIN(100,0.5*(W40+W42)*EXP(-OASrts!V41*0.5))+100*$D$5</f>
        <v>98.382248558889415</v>
      </c>
      <c r="X41">
        <f>MIN(100,0.5*(Y40+Y42)*EXP(-OASrts!X41*0.5))+100*$D$5</f>
        <v>100.63869083531685</v>
      </c>
      <c r="Z41">
        <f t="shared" ref="Z41" si="9">100*(1+$D$5)</f>
        <v>102</v>
      </c>
    </row>
    <row r="42" spans="1:26" x14ac:dyDescent="0.25">
      <c r="C42">
        <f>0.5*(D41+D43)*EXP(-OASrts!C42*0.5)+100*$D$5</f>
        <v>83.83524380453072</v>
      </c>
      <c r="E42">
        <f>0.5*(F41+F43)*EXP(-OASrts!E42*0.5)+100*$D$5</f>
        <v>83.364417591322123</v>
      </c>
      <c r="G42">
        <f>0.5*(H41+H43)*EXP(-OASrts!G42*0.5)+100*$D$5</f>
        <v>83.263205419896991</v>
      </c>
      <c r="I42">
        <f>0.5*(J41+J43)*EXP(-OASrts!I42*0.5)+100*$D$5</f>
        <v>84.145626987886601</v>
      </c>
      <c r="K42">
        <f>0.5*(L41+L43)*EXP(-OASrts!K42*0.5)+100*$D$5</f>
        <v>85.701579082081253</v>
      </c>
      <c r="M42">
        <f>0.5*(N41+N43)*EXP(-OASrts!M42*0.5)+100*$D$5</f>
        <v>88.196230207377525</v>
      </c>
      <c r="O42">
        <f>0.5*(P41+P43)*EXP(-OASrts!O42*0.5)+100*$D$5</f>
        <v>90.542644108713631</v>
      </c>
      <c r="Q42">
        <f>MIN(100,0.5*(R41+R43)*EXP(-OASrts!Q42*0.5))+100*$D$5</f>
        <v>91.998305392604607</v>
      </c>
      <c r="S42">
        <f>MIN(100,0.5*(T41+T43)*EXP(-OASrts!S42*0.5))+100*$D$5</f>
        <v>95.04311887294925</v>
      </c>
      <c r="U42">
        <f>MIN(100,0.5*(V41+V43)*EXP(-OASrts!U42*0.5))+100*$D$5</f>
        <v>98.627269243425005</v>
      </c>
      <c r="W42">
        <f>MIN(100,0.5*(X41+X43)*EXP(-OASrts!W42*0.5))+100*$D$5</f>
        <v>101.23122196118423</v>
      </c>
      <c r="Y42">
        <f>MIN(100,0.5*(Z41+Z43)*EXP(-OASrts!Y42*0.5))+100*$D$5</f>
        <v>102</v>
      </c>
    </row>
    <row r="43" spans="1:26" x14ac:dyDescent="0.25">
      <c r="B43">
        <f>0.5*(C42+C44)*EXP(-OASrts!B43*0.5)+100*$D$5</f>
        <v>94.89362574754864</v>
      </c>
      <c r="D43">
        <f>0.5*(E42+E44)*EXP(-OASrts!D43*0.5)+100*$D$5</f>
        <v>93.955446731501965</v>
      </c>
      <c r="F43">
        <f>0.5*(G42+G44)*EXP(-OASrts!F43*0.5)+100*$D$5</f>
        <v>93.465442594569168</v>
      </c>
      <c r="H43">
        <f>0.5*(I42+I44)*EXP(-OASrts!H43*0.5)+100*$D$5</f>
        <v>93.473234958740022</v>
      </c>
      <c r="J43">
        <f>0.5*(K42+K44)*EXP(-OASrts!J43*0.5)+100*$D$5</f>
        <v>93.975632498250235</v>
      </c>
      <c r="L43">
        <f>0.5*(M42+M44)*EXP(-OASrts!L43*0.5)+100*$D$5</f>
        <v>94.860423171057235</v>
      </c>
      <c r="N43">
        <f>0.5*(O42+O44)*EXP(-OASrts!N43*0.5)+100*$D$5</f>
        <v>96.324337814922274</v>
      </c>
      <c r="P43">
        <f>MIN(100,0.5*(Q42+Q44)*EXP(-OASrts!P43*0.5))+100*$D$5</f>
        <v>96.846549982584847</v>
      </c>
      <c r="R43">
        <f>MIN(100,0.5*(S42+S44)*EXP(-OASrts!R43*0.5))+100*$D$5</f>
        <v>98.687224124173625</v>
      </c>
      <c r="T43">
        <f>MIN(100,0.5*(U42+U44)*EXP(-OASrts!T43*0.5))+100*$D$5</f>
        <v>99.767714938512498</v>
      </c>
      <c r="V43">
        <f>MIN(100,0.5*(W42+W44)*EXP(-OASrts!V43*0.5))+100*$D$5</f>
        <v>101.93773290646196</v>
      </c>
      <c r="X43">
        <f>MIN(100,0.5*(Y42+Y44)*EXP(-OASrts!X43*0.5))+100*$D$5</f>
        <v>102</v>
      </c>
      <c r="Z43">
        <f t="shared" ref="Z43" si="10">100*(1+$D$5)</f>
        <v>102</v>
      </c>
    </row>
    <row r="44" spans="1:26" x14ac:dyDescent="0.25">
      <c r="A44">
        <f>0.5*(B43+B45)*EXP(-OASrts!A44*0.5)</f>
        <v>102.98191256094415</v>
      </c>
      <c r="C44">
        <f>0.5*(D43+D45)*EXP(-OASrts!C44*0.5)+100*$D$5</f>
        <v>103.35765818485066</v>
      </c>
      <c r="E44">
        <f>0.5*(F43+F45)*EXP(-OASrts!E44*0.5)+100*$D$5</f>
        <v>102.5229942142731</v>
      </c>
      <c r="G44">
        <f>0.5*(H43+H45)*EXP(-OASrts!G44*0.5)+100*$D$5</f>
        <v>101.74946729576919</v>
      </c>
      <c r="I44">
        <f>0.5*(J43+J45)*EXP(-OASrts!I44*0.5)+100*$D$5</f>
        <v>101.3803115733445</v>
      </c>
      <c r="K44">
        <f>0.5*(L43+L45)*EXP(-OASrts!K44*0.5)+100*$D$5</f>
        <v>101.14620135511737</v>
      </c>
      <c r="M44">
        <f>0.5*(N43+N45)*EXP(-OASrts!M44*0.5)+100*$D$5</f>
        <v>101.0188514474157</v>
      </c>
      <c r="O44">
        <f>0.5*(P43+P45)*EXP(-OASrts!O44*0.5)+100*$D$5</f>
        <v>100.60233730905313</v>
      </c>
      <c r="Q44">
        <f>MIN(100,0.5*(R43+R45)*EXP(-OASrts!Q44*0.5))+100*$D$5</f>
        <v>100.23038046978276</v>
      </c>
      <c r="S44">
        <f>MIN(100,0.5*(T43+T45)*EXP(-OASrts!S44*0.5))+100*$D$5</f>
        <v>101.07698965593802</v>
      </c>
      <c r="U44">
        <f>MIN(100,0.5*(V43+V45)*EXP(-OASrts!U44*0.5))+100*$D$5</f>
        <v>101.96147881628418</v>
      </c>
      <c r="W44">
        <f>MIN(100,0.5*(X43+X45)*EXP(-OASrts!W44*0.5))+100*$D$5</f>
        <v>102</v>
      </c>
      <c r="Y44">
        <f>MIN(100,0.5*(Z43+Z45)*EXP(-OASrts!Y44*0.5))+100*$D$5</f>
        <v>102</v>
      </c>
    </row>
    <row r="45" spans="1:26" x14ac:dyDescent="0.25">
      <c r="B45">
        <f>0.5*(C44+C46)*EXP(-OASrts!B45*0.5)+100*$D$5</f>
        <v>111.50627385067627</v>
      </c>
      <c r="D45">
        <f>0.5*(E44+E46)*EXP(-OASrts!D45*0.5)+100*$D$5</f>
        <v>109.99979396558845</v>
      </c>
      <c r="F45">
        <f>0.5*(G44+G46)*EXP(-OASrts!F45*0.5)+100*$D$5</f>
        <v>108.65395382533369</v>
      </c>
      <c r="H45">
        <f>0.5*(I44+I46)*EXP(-OASrts!H45*0.5)+100*$D$5</f>
        <v>107.42175619642737</v>
      </c>
      <c r="J45">
        <f>0.5*(K44+K46)*EXP(-OASrts!J45*0.5)+100*$D$5</f>
        <v>106.20612074856116</v>
      </c>
      <c r="L45">
        <f>0.5*(M44+M46)*EXP(-OASrts!L45*0.5)+100*$D$5</f>
        <v>105.00439445691855</v>
      </c>
      <c r="N45">
        <f>0.5*(O44+O46)*EXP(-OASrts!N45*0.5)+100*$D$5</f>
        <v>103.70720501595231</v>
      </c>
      <c r="P45">
        <f>MIN(100,0.5*(Q44+Q46)*EXP(-OASrts!P45*0.5))+100*$D$5</f>
        <v>102</v>
      </c>
      <c r="R45">
        <f>MIN(100,0.5*(S44+S46)*EXP(-OASrts!R45*0.5))+100*$D$5</f>
        <v>102</v>
      </c>
      <c r="T45">
        <f>MIN(100,0.5*(U44+U46)*EXP(-OASrts!T45*0.5))+100*$D$5</f>
        <v>102</v>
      </c>
      <c r="V45">
        <f>MIN(100,0.5*(W44+W46)*EXP(-OASrts!V45*0.5))+100*$D$5</f>
        <v>102</v>
      </c>
      <c r="X45">
        <f>MIN(100,0.5*(Y44+Y46)*EXP(-OASrts!X45*0.5))+100*$D$5</f>
        <v>102</v>
      </c>
      <c r="Z45">
        <f t="shared" ref="Z45" si="11">100*(1+$D$5)</f>
        <v>102</v>
      </c>
    </row>
    <row r="46" spans="1:26" x14ac:dyDescent="0.25">
      <c r="C46">
        <f>0.5*(D45+D47)*EXP(-OASrts!C46*0.5)+100*$D$5</f>
        <v>116.42203344017051</v>
      </c>
      <c r="E46">
        <f>0.5*(F45+F47)*EXP(-OASrts!E46*0.5)+100*$D$5</f>
        <v>114.60024404320603</v>
      </c>
      <c r="G46">
        <f>0.5*(H45+H47)*EXP(-OASrts!G46*0.5)+100*$D$5</f>
        <v>112.62310916894788</v>
      </c>
      <c r="I46">
        <f>0.5*(J45+J47)*EXP(-OASrts!I46*0.5)+100*$D$5</f>
        <v>110.68786709345845</v>
      </c>
      <c r="K46">
        <f>0.5*(L45+L47)*EXP(-OASrts!K46*0.5)+100*$D$5</f>
        <v>108.63287586013847</v>
      </c>
      <c r="M46">
        <f>0.5*(N45+N47)*EXP(-OASrts!M46*0.5)+100*$D$5</f>
        <v>106.37929067328959</v>
      </c>
      <c r="O46">
        <f>0.5*(P45+P47)*EXP(-OASrts!O46*0.5)+100*$D$5</f>
        <v>103.73571965589515</v>
      </c>
      <c r="Q46">
        <f>MIN(100,0.5*(R45+R47)*EXP(-OASrts!Q46*0.5))+100*$D$5</f>
        <v>102</v>
      </c>
      <c r="S46">
        <f>MIN(100,0.5*(T45+T47)*EXP(-OASrts!S46*0.5))+100*$D$5</f>
        <v>102</v>
      </c>
      <c r="U46">
        <f>MIN(100,0.5*(V45+V47)*EXP(-OASrts!U46*0.5))+100*$D$5</f>
        <v>102</v>
      </c>
      <c r="W46">
        <f>MIN(100,0.5*(X45+X47)*EXP(-OASrts!W46*0.5))+100*$D$5</f>
        <v>102</v>
      </c>
      <c r="Y46">
        <f>MIN(100,0.5*(Z45+Z47)*EXP(-OASrts!Y46*0.5))+100*$D$5</f>
        <v>102</v>
      </c>
    </row>
    <row r="47" spans="1:26" x14ac:dyDescent="0.25">
      <c r="D47">
        <f>0.5*(E46+E48)*EXP(-OASrts!D47*0.5)+100*$D$5</f>
        <v>119.46849450404649</v>
      </c>
      <c r="F47">
        <f>0.5*(G46+G48)*EXP(-OASrts!F47*0.5)+100*$D$5</f>
        <v>117.00299007939418</v>
      </c>
      <c r="H47">
        <f>0.5*(I46+I48)*EXP(-OASrts!H47*0.5)+100*$D$5</f>
        <v>114.45317800781319</v>
      </c>
      <c r="J47">
        <f>0.5*(K46+K48)*EXP(-OASrts!J47*0.5)+100*$D$5</f>
        <v>111.74260007799096</v>
      </c>
      <c r="L47">
        <f>0.5*(M46+M48)*EXP(-OASrts!L47*0.5)+100*$D$5</f>
        <v>108.8995546816496</v>
      </c>
      <c r="N47">
        <f>0.5*(O46+O48)*EXP(-OASrts!N47*0.5)+100*$D$5</f>
        <v>105.73782836913999</v>
      </c>
      <c r="P47">
        <f>MIN(100,0.5*(Q46+Q48)*EXP(-OASrts!P47*0.5))+100*$D$5</f>
        <v>102</v>
      </c>
      <c r="R47">
        <f>MIN(100,0.5*(S46+S48)*EXP(-OASrts!R47*0.5))+100*$D$5</f>
        <v>102</v>
      </c>
      <c r="T47">
        <f>MIN(100,0.5*(U46+U48)*EXP(-OASrts!T47*0.5))+100*$D$5</f>
        <v>102</v>
      </c>
      <c r="V47">
        <f>MIN(100,0.5*(W46+W48)*EXP(-OASrts!V47*0.5))+100*$D$5</f>
        <v>102</v>
      </c>
      <c r="X47">
        <f>MIN(100,0.5*(Y46+Y48)*EXP(-OASrts!X47*0.5))+100*$D$5</f>
        <v>102</v>
      </c>
      <c r="Z47">
        <f t="shared" ref="Z47" si="12">100*(1+$D$5)</f>
        <v>102</v>
      </c>
    </row>
    <row r="48" spans="1:26" x14ac:dyDescent="0.25">
      <c r="E48">
        <f>0.5*(F47+F49)*EXP(-OASrts!E48*0.5)+100*$D$5</f>
        <v>120.86263557224316</v>
      </c>
      <c r="G48">
        <f>0.5*(H47+H49)*EXP(-OASrts!G48*0.5)+100*$D$5</f>
        <v>117.80974044617089</v>
      </c>
      <c r="I48">
        <f>0.5*(J47+J49)*EXP(-OASrts!I48*0.5)+100*$D$5</f>
        <v>114.67328279499039</v>
      </c>
      <c r="K48">
        <f>0.5*(L47+L49)*EXP(-OASrts!K48*0.5)+100*$D$5</f>
        <v>111.37147250352751</v>
      </c>
      <c r="M48">
        <f>0.5*(N47+N49)*EXP(-OASrts!M48*0.5)+100*$D$5</f>
        <v>107.84105141208205</v>
      </c>
      <c r="O48">
        <f>0.5*(P47+P49)*EXP(-OASrts!O48*0.5)+100*$D$5</f>
        <v>103.96713211234183</v>
      </c>
      <c r="Q48">
        <f>MIN(100,0.5*(R47+R49)*EXP(-OASrts!Q48*0.5))+100*$D$5</f>
        <v>102</v>
      </c>
      <c r="S48">
        <f>MIN(100,0.5*(T47+T49)*EXP(-OASrts!S48*0.5))+100*$D$5</f>
        <v>102</v>
      </c>
      <c r="U48">
        <f>MIN(100,0.5*(V47+V49)*EXP(-OASrts!U48*0.5))+100*$D$5</f>
        <v>102</v>
      </c>
      <c r="W48">
        <f>MIN(100,0.5*(X47+X49)*EXP(-OASrts!W48*0.5))+100*$D$5</f>
        <v>102</v>
      </c>
      <c r="Y48">
        <f>MIN(100,0.5*(Z47+Z49)*EXP(-OASrts!Y48*0.5))+100*$D$5</f>
        <v>102</v>
      </c>
    </row>
    <row r="49" spans="6:26" x14ac:dyDescent="0.25">
      <c r="F49">
        <f>0.5*(G48+G50)*EXP(-OASrts!F49*0.5)+100*$D$5</f>
        <v>120.81683590888979</v>
      </c>
      <c r="H49">
        <f>0.5*(I48+I50)*EXP(-OASrts!H49*0.5)+100*$D$5</f>
        <v>117.35131407051004</v>
      </c>
      <c r="J49">
        <f>0.5*(K48+K50)*EXP(-OASrts!J49*0.5)+100*$D$5</f>
        <v>113.73217266877462</v>
      </c>
      <c r="L49">
        <f>0.5*(M48+M50)*EXP(-OASrts!L49*0.5)+100*$D$5</f>
        <v>110.00359532143548</v>
      </c>
      <c r="N49">
        <f>0.5*(O48+O50)*EXP(-OASrts!N49*0.5)+100*$D$5</f>
        <v>106.07066188777482</v>
      </c>
      <c r="P49">
        <f>MIN(100,0.5*(Q48+Q50)*EXP(-OASrts!P49*0.5))+100*$D$5</f>
        <v>102</v>
      </c>
      <c r="R49">
        <f>MIN(100,0.5*(S48+S50)*EXP(-OASrts!R49*0.5))+100*$D$5</f>
        <v>102</v>
      </c>
      <c r="T49">
        <f>MIN(100,0.5*(U48+U50)*EXP(-OASrts!T49*0.5))+100*$D$5</f>
        <v>102</v>
      </c>
      <c r="V49">
        <f>MIN(100,0.5*(W48+W50)*EXP(-OASrts!V49*0.5))+100*$D$5</f>
        <v>102</v>
      </c>
      <c r="X49">
        <f>MIN(100,0.5*(Y48+Y50)*EXP(-OASrts!X49*0.5))+100*$D$5</f>
        <v>102</v>
      </c>
      <c r="Z49">
        <f t="shared" ref="Z49" si="13">100*(1+$D$5)</f>
        <v>102</v>
      </c>
    </row>
    <row r="50" spans="6:26" x14ac:dyDescent="0.25">
      <c r="G50">
        <f>0.5*(H49+H51)*EXP(-OASrts!G50*0.5)+100*$D$5</f>
        <v>119.8984479059786</v>
      </c>
      <c r="I50">
        <f>0.5*(J49+J51)*EXP(-OASrts!I50*0.5)+100*$D$5</f>
        <v>116.09567019038764</v>
      </c>
      <c r="K50">
        <f>0.5*(L49+L51)*EXP(-OASrts!K50*0.5)+100*$D$5</f>
        <v>112.19228102040097</v>
      </c>
      <c r="M50">
        <f>0.5*(N49+N51)*EXP(-OASrts!M50*0.5)+100*$D$5</f>
        <v>108.18182210246161</v>
      </c>
      <c r="O50">
        <f>0.5*(P49+P51)*EXP(-OASrts!O50*0.5)+100*$D$5</f>
        <v>104.11677215737717</v>
      </c>
      <c r="Q50">
        <f>MIN(100,0.5*(R49+R51)*EXP(-OASrts!Q50*0.5))+100*$D$5</f>
        <v>102</v>
      </c>
      <c r="S50">
        <f>MIN(100,0.5*(T49+T51)*EXP(-OASrts!S50*0.5))+100*$D$5</f>
        <v>102</v>
      </c>
      <c r="U50">
        <f>MIN(100,0.5*(V49+V51)*EXP(-OASrts!U50*0.5))+100*$D$5</f>
        <v>102</v>
      </c>
      <c r="W50">
        <f>MIN(100,0.5*(X49+X51)*EXP(-OASrts!W50*0.5))+100*$D$5</f>
        <v>102</v>
      </c>
      <c r="Y50">
        <f>MIN(100,0.5*(Z49+Z51)*EXP(-OASrts!Y50*0.5))+100*$D$5</f>
        <v>102</v>
      </c>
    </row>
    <row r="51" spans="6:26" x14ac:dyDescent="0.25">
      <c r="H51">
        <f>0.5*(I50+I52)*EXP(-OASrts!H51*0.5)+100*$D$5</f>
        <v>118.39677176641472</v>
      </c>
      <c r="J51">
        <f>0.5*(K50+K52)*EXP(-OASrts!J51*0.5)+100*$D$5</f>
        <v>114.37263039604008</v>
      </c>
      <c r="L51">
        <f>0.5*(M50+M52)*EXP(-OASrts!L51*0.5)+100*$D$5</f>
        <v>110.31392269359078</v>
      </c>
      <c r="N51">
        <f>0.5*(O50+O52)*EXP(-OASrts!N51*0.5)+100*$D$5</f>
        <v>106.19227267323159</v>
      </c>
      <c r="P51">
        <f>MIN(100,0.5*(Q50+Q52)*EXP(-OASrts!P51*0.5))+100*$D$5</f>
        <v>102</v>
      </c>
      <c r="R51">
        <f>MIN(100,0.5*(S50+S52)*EXP(-OASrts!R51*0.5))+100*$D$5</f>
        <v>102</v>
      </c>
      <c r="T51">
        <f>MIN(100,0.5*(U50+U52)*EXP(-OASrts!T51*0.5))+100*$D$5</f>
        <v>102</v>
      </c>
      <c r="V51">
        <f>MIN(100,0.5*(W50+W52)*EXP(-OASrts!V51*0.5))+100*$D$5</f>
        <v>102</v>
      </c>
      <c r="X51">
        <f>MIN(100,0.5*(Y50+Y52)*EXP(-OASrts!X51*0.5))+100*$D$5</f>
        <v>102</v>
      </c>
      <c r="Z51">
        <f t="shared" ref="Z51" si="14">100*(1+$D$5)</f>
        <v>102</v>
      </c>
    </row>
    <row r="52" spans="6:26" x14ac:dyDescent="0.25">
      <c r="I52">
        <f>0.5*(J51+J53)*EXP(-OASrts!I52*0.5)+100*$D$5</f>
        <v>116.5795172334293</v>
      </c>
      <c r="K52">
        <f>0.5*(L51+L53)*EXP(-OASrts!K52*0.5)+100*$D$5</f>
        <v>112.45494933392888</v>
      </c>
      <c r="M52">
        <f>0.5*(N51+N53)*EXP(-OASrts!M52*0.5)+100*$D$5</f>
        <v>108.29802149311254</v>
      </c>
      <c r="O52">
        <f>0.5*(P51+P53)*EXP(-OASrts!O52*0.5)+100*$D$5</f>
        <v>104.0964613567543</v>
      </c>
      <c r="Q52">
        <f>MIN(100,0.5*(R51+R53)*EXP(-OASrts!Q52*0.5))+100*$D$5</f>
        <v>102</v>
      </c>
      <c r="S52">
        <f>MIN(100,0.5*(T51+T53)*EXP(-OASrts!S52*0.5))+100*$D$5</f>
        <v>102</v>
      </c>
      <c r="U52">
        <f>MIN(100,0.5*(V51+V53)*EXP(-OASrts!U52*0.5))+100*$D$5</f>
        <v>102</v>
      </c>
      <c r="W52">
        <f>MIN(100,0.5*(X51+X53)*EXP(-OASrts!W52*0.5))+100*$D$5</f>
        <v>102</v>
      </c>
      <c r="Y52">
        <f>MIN(100,0.5*(Z51+Z53)*EXP(-OASrts!Y52*0.5))+100*$D$5</f>
        <v>102</v>
      </c>
    </row>
    <row r="53" spans="6:26" x14ac:dyDescent="0.25">
      <c r="J53">
        <f>0.5*(K52+K54)*EXP(-OASrts!J53*0.5)+100*$D$5</f>
        <v>114.59974840828255</v>
      </c>
      <c r="L53">
        <f>0.5*(M52+M54)*EXP(-OASrts!L53*0.5)+100*$D$5</f>
        <v>110.42364923353847</v>
      </c>
      <c r="N53">
        <f>0.5*(O52+O54)*EXP(-OASrts!N53*0.5)+100*$D$5</f>
        <v>106.21218549117914</v>
      </c>
      <c r="P53">
        <f>MIN(100,0.5*(Q52+Q54)*EXP(-OASrts!P53*0.5))+100*$D$5</f>
        <v>102</v>
      </c>
      <c r="R53">
        <f>MIN(100,0.5*(S52+S54)*EXP(-OASrts!R53*0.5))+100*$D$5</f>
        <v>102</v>
      </c>
      <c r="T53">
        <f>MIN(100,0.5*(U52+U54)*EXP(-OASrts!T53*0.5))+100*$D$5</f>
        <v>102</v>
      </c>
      <c r="V53">
        <f>MIN(100,0.5*(W52+W54)*EXP(-OASrts!V53*0.5))+100*$D$5</f>
        <v>102</v>
      </c>
      <c r="X53">
        <f>MIN(100,0.5*(Y52+Y54)*EXP(-OASrts!X53*0.5))+100*$D$5</f>
        <v>102</v>
      </c>
      <c r="Z53">
        <f t="shared" ref="Z53" si="15">100*(1+$D$5)</f>
        <v>102</v>
      </c>
    </row>
    <row r="54" spans="6:26" x14ac:dyDescent="0.25">
      <c r="K54">
        <f>0.5*(L53+L55)*EXP(-OASrts!K54*0.5)+100*$D$5</f>
        <v>112.55522706268299</v>
      </c>
      <c r="M54">
        <f>0.5*(N53+N55)*EXP(-OASrts!M54*0.5)+100*$D$5</f>
        <v>108.33579463678862</v>
      </c>
      <c r="O54">
        <f>0.5*(P53+P55)*EXP(-OASrts!O54*0.5)+100*$D$5</f>
        <v>104.11117766494483</v>
      </c>
      <c r="Q54">
        <f>MIN(100,0.5*(R53+R55)*EXP(-OASrts!Q54*0.5))+100*$D$5</f>
        <v>102</v>
      </c>
      <c r="S54">
        <f>MIN(100,0.5*(T53+T55)*EXP(-OASrts!S54*0.5))+100*$D$5</f>
        <v>102</v>
      </c>
      <c r="U54">
        <f>MIN(100,0.5*(V53+V55)*EXP(-OASrts!U54*0.5))+100*$D$5</f>
        <v>102</v>
      </c>
      <c r="W54">
        <f>MIN(100,0.5*(X53+X55)*EXP(-OASrts!W54*0.5))+100*$D$5</f>
        <v>102</v>
      </c>
      <c r="Y54">
        <f>MIN(100,0.5*(Z53+Z55)*EXP(-OASrts!Y54*0.5))+100*$D$5</f>
        <v>102</v>
      </c>
    </row>
    <row r="55" spans="6:26" x14ac:dyDescent="0.25">
      <c r="L55">
        <f>0.5*(M54+M56)*EXP(-OASrts!L55*0.5)+100*$D$5</f>
        <v>110.46600039870056</v>
      </c>
      <c r="N55">
        <f>0.5*(O54+O56)*EXP(-OASrts!N55*0.5)+100*$D$5</f>
        <v>106.23154972843315</v>
      </c>
      <c r="P55">
        <f>MIN(100,0.5*(Q54+Q56)*EXP(-OASrts!P55*0.5))+100*$D$5</f>
        <v>102</v>
      </c>
      <c r="R55">
        <f>MIN(100,0.5*(S54+S56)*EXP(-OASrts!R55*0.5))+100*$D$5</f>
        <v>102</v>
      </c>
      <c r="T55">
        <f>MIN(100,0.5*(U54+U56)*EXP(-OASrts!T55*0.5))+100*$D$5</f>
        <v>102</v>
      </c>
      <c r="V55">
        <f>MIN(100,0.5*(W54+W56)*EXP(-OASrts!V55*0.5))+100*$D$5</f>
        <v>102</v>
      </c>
      <c r="X55">
        <f>MIN(100,0.5*(Y54+Y56)*EXP(-OASrts!X55*0.5))+100*$D$5</f>
        <v>102</v>
      </c>
      <c r="Z55">
        <f t="shared" ref="Z55" si="16">100*(1+$D$5)</f>
        <v>102</v>
      </c>
    </row>
    <row r="56" spans="6:26" x14ac:dyDescent="0.25">
      <c r="M56">
        <f>0.5*(N55+N57)*EXP(-OASrts!M56*0.5)+100*$D$5</f>
        <v>108.35658046748155</v>
      </c>
      <c r="O56">
        <f>0.5*(P55+P57)*EXP(-OASrts!O56*0.5)+100*$D$5</f>
        <v>104.11704744300532</v>
      </c>
      <c r="Q56">
        <f>MIN(100,0.5*(R55+R57)*EXP(-OASrts!Q56*0.5))+100*$D$5</f>
        <v>102</v>
      </c>
      <c r="S56">
        <f>MIN(100,0.5*(T55+T57)*EXP(-OASrts!S56*0.5))+100*$D$5</f>
        <v>102</v>
      </c>
      <c r="U56">
        <f>MIN(100,0.5*(V55+V57)*EXP(-OASrts!U56*0.5))+100*$D$5</f>
        <v>102</v>
      </c>
      <c r="W56">
        <f>MIN(100,0.5*(X55+X57)*EXP(-OASrts!W56*0.5))+100*$D$5</f>
        <v>102</v>
      </c>
      <c r="Y56">
        <f>MIN(100,0.5*(Z55+Z57)*EXP(-OASrts!Y56*0.5))+100*$D$5</f>
        <v>102</v>
      </c>
    </row>
    <row r="57" spans="6:26" x14ac:dyDescent="0.25">
      <c r="N57">
        <f>0.5*(O56+O58)*EXP(-OASrts!N57*0.5)+100*$D$5</f>
        <v>106.23927367895772</v>
      </c>
      <c r="P57">
        <f>MIN(100,0.5*(Q56+Q58)*EXP(-OASrts!P57*0.5))+100*$D$5</f>
        <v>102</v>
      </c>
      <c r="R57">
        <f>MIN(100,0.5*(S56+S58)*EXP(-OASrts!R57*0.5))+100*$D$5</f>
        <v>102</v>
      </c>
      <c r="T57">
        <f>MIN(100,0.5*(U56+U58)*EXP(-OASrts!T57*0.5))+100*$D$5</f>
        <v>102</v>
      </c>
      <c r="V57">
        <f>MIN(100,0.5*(W56+W58)*EXP(-OASrts!V57*0.5))+100*$D$5</f>
        <v>102</v>
      </c>
      <c r="X57">
        <f>MIN(100,0.5*(Y56+Y58)*EXP(-OASrts!X57*0.5))+100*$D$5</f>
        <v>102</v>
      </c>
      <c r="Z57">
        <f t="shared" ref="Z57" si="17">100*(1+$D$5)</f>
        <v>102</v>
      </c>
    </row>
    <row r="58" spans="6:26" x14ac:dyDescent="0.25">
      <c r="O58">
        <f>0.5*(P57+P59)*EXP(-OASrts!O58*0.5)+100*$D$5</f>
        <v>104.11938853331766</v>
      </c>
      <c r="Q58">
        <f>MIN(100,0.5*(R57+R59)*EXP(-OASrts!Q58*0.5))+100*$D$5</f>
        <v>102</v>
      </c>
      <c r="S58">
        <f>MIN(100,0.5*(T57+T59)*EXP(-OASrts!S58*0.5))+100*$D$5</f>
        <v>102</v>
      </c>
      <c r="U58">
        <f>MIN(100,0.5*(V57+V59)*EXP(-OASrts!U58*0.5))+100*$D$5</f>
        <v>102</v>
      </c>
      <c r="W58">
        <f>MIN(100,0.5*(X57+X59)*EXP(-OASrts!W58*0.5))+100*$D$5</f>
        <v>102</v>
      </c>
      <c r="Y58">
        <f>MIN(100,0.5*(Z57+Z59)*EXP(-OASrts!Y58*0.5))+100*$D$5</f>
        <v>102</v>
      </c>
    </row>
    <row r="59" spans="6:26" x14ac:dyDescent="0.25">
      <c r="P59">
        <f>MIN(100,0.5*(Q58+Q60)*EXP(-OASrts!P59*0.5))+100*$D$5</f>
        <v>102</v>
      </c>
      <c r="R59">
        <f>MIN(100,0.5*(S58+S60)*EXP(-OASrts!R59*0.5))+100*$D$5</f>
        <v>102</v>
      </c>
      <c r="T59">
        <f>MIN(100,0.5*(U58+U60)*EXP(-OASrts!T59*0.5))+100*$D$5</f>
        <v>102</v>
      </c>
      <c r="V59">
        <f>MIN(100,0.5*(W58+W60)*EXP(-OASrts!V59*0.5))+100*$D$5</f>
        <v>102</v>
      </c>
      <c r="X59">
        <f>MIN(100,0.5*(Y58+Y60)*EXP(-OASrts!X59*0.5))+100*$D$5</f>
        <v>102</v>
      </c>
      <c r="Z59">
        <f t="shared" ref="Z59" si="18">100*(1+$D$5)</f>
        <v>102</v>
      </c>
    </row>
    <row r="60" spans="6:26" x14ac:dyDescent="0.25">
      <c r="Q60">
        <f>MIN(100,0.5*(R59+R61)*EXP(-OASrts!Q60*0.5))+100*$D$5</f>
        <v>102</v>
      </c>
      <c r="S60">
        <f>MIN(100,0.5*(T59+T61)*EXP(-OASrts!S60*0.5))+100*$D$5</f>
        <v>102</v>
      </c>
      <c r="U60">
        <f>MIN(100,0.5*(V59+V61)*EXP(-OASrts!U60*0.5))+100*$D$5</f>
        <v>102</v>
      </c>
      <c r="W60">
        <f>MIN(100,0.5*(X59+X61)*EXP(-OASrts!W60*0.5))+100*$D$5</f>
        <v>102</v>
      </c>
      <c r="Y60">
        <f>MIN(100,0.5*(Z59+Z61)*EXP(-OASrts!Y60*0.5))+100*$D$5</f>
        <v>102</v>
      </c>
    </row>
    <row r="61" spans="6:26" x14ac:dyDescent="0.25">
      <c r="R61">
        <f>MIN(100,0.5*(S60+S62)*EXP(-OASrts!R61*0.5))+100*$D$5</f>
        <v>102</v>
      </c>
      <c r="T61">
        <f>MIN(100,0.5*(U60+U62)*EXP(-OASrts!T61*0.5))+100*$D$5</f>
        <v>102</v>
      </c>
      <c r="V61">
        <f>MIN(100,0.5*(W60+W62)*EXP(-OASrts!V61*0.5))+100*$D$5</f>
        <v>102</v>
      </c>
      <c r="X61">
        <f>MIN(100,0.5*(Y60+Y62)*EXP(-OASrts!X61*0.5))+100*$D$5</f>
        <v>102</v>
      </c>
      <c r="Z61">
        <f t="shared" ref="Z61" si="19">100*(1+$D$5)</f>
        <v>102</v>
      </c>
    </row>
    <row r="62" spans="6:26" x14ac:dyDescent="0.25">
      <c r="S62">
        <f>MIN(100,0.5*(T61+T63)*EXP(-OASrts!S62*0.5))+100*$D$5</f>
        <v>102</v>
      </c>
      <c r="U62">
        <f>MIN(100,0.5*(V61+V63)*EXP(-OASrts!U62*0.5))+100*$D$5</f>
        <v>102</v>
      </c>
      <c r="W62">
        <f>MIN(100,0.5*(X61+X63)*EXP(-OASrts!W62*0.5))+100*$D$5</f>
        <v>102</v>
      </c>
      <c r="Y62">
        <f>MIN(100,0.5*(Z61+Z63)*EXP(-OASrts!Y62*0.5))+100*$D$5</f>
        <v>102</v>
      </c>
    </row>
    <row r="63" spans="6:26" x14ac:dyDescent="0.25">
      <c r="T63">
        <f>MIN(100,0.5*(U62+U64)*EXP(-OASrts!T63*0.5))+100*$D$5</f>
        <v>102</v>
      </c>
      <c r="V63">
        <f>MIN(100,0.5*(W62+W64)*EXP(-OASrts!V63*0.5))+100*$D$5</f>
        <v>102</v>
      </c>
      <c r="X63">
        <f>MIN(100,0.5*(Y62+Y64)*EXP(-OASrts!X63*0.5))+100*$D$5</f>
        <v>102</v>
      </c>
      <c r="Z63">
        <f t="shared" ref="Z63" si="20">100*(1+$D$5)</f>
        <v>102</v>
      </c>
    </row>
    <row r="64" spans="6:26" x14ac:dyDescent="0.25">
      <c r="U64">
        <f>MIN(100,0.5*(V63+V65)*EXP(-OASrts!U64*0.5))+100*$D$5</f>
        <v>102</v>
      </c>
      <c r="W64">
        <f>MIN(100,0.5*(X63+X65)*EXP(-OASrts!W64*0.5))+100*$D$5</f>
        <v>102</v>
      </c>
      <c r="Y64">
        <f>MIN(100,0.5*(Z63+Z65)*EXP(-OASrts!Y64*0.5))+100*$D$5</f>
        <v>102</v>
      </c>
    </row>
    <row r="65" spans="22:26" x14ac:dyDescent="0.25">
      <c r="V65">
        <f>MIN(100,0.5*(W64+W66)*EXP(-OASrts!V65*0.5))+100*$D$5</f>
        <v>102</v>
      </c>
      <c r="X65">
        <f>MIN(100,0.5*(Y64+Y66)*EXP(-OASrts!X65*0.5))+100*$D$5</f>
        <v>102</v>
      </c>
      <c r="Z65">
        <f t="shared" ref="Z65" si="21">100*(1+$D$5)</f>
        <v>102</v>
      </c>
    </row>
    <row r="66" spans="22:26" x14ac:dyDescent="0.25">
      <c r="W66">
        <f>MIN(100,0.5*(X65+X67)*EXP(-OASrts!W66*0.5))+100*$D$5</f>
        <v>102</v>
      </c>
      <c r="Y66">
        <f>MIN(100,0.5*(Z65+Z67)*EXP(-OASrts!Y66*0.5))+100*$D$5</f>
        <v>102</v>
      </c>
    </row>
    <row r="67" spans="22:26" x14ac:dyDescent="0.25">
      <c r="X67">
        <f>MIN(100,0.5*(Y66+Y68)*EXP(-OASrts!X67*0.5))+100*$D$5</f>
        <v>102</v>
      </c>
      <c r="Z67">
        <f t="shared" ref="Z67" si="22">100*(1+$D$5)</f>
        <v>102</v>
      </c>
    </row>
    <row r="68" spans="22:26" x14ac:dyDescent="0.25">
      <c r="Y68">
        <f>MIN(100,0.5*(Z67+Z69)*EXP(-OASrts!Y68*0.5))+100*$D$5</f>
        <v>102</v>
      </c>
    </row>
    <row r="69" spans="22:26" x14ac:dyDescent="0.25">
      <c r="Z69">
        <f t="shared" ref="Z69" si="23">100*(1+$D$5)</f>
        <v>102</v>
      </c>
    </row>
  </sheetData>
  <phoneticPr fontId="1" type="noConversion"/>
  <conditionalFormatting sqref="A44">
    <cfRule type="cellIs" dxfId="329" priority="1" operator="equal">
      <formula>100*(1+$D$5)</formula>
    </cfRule>
  </conditionalFormatting>
  <conditionalFormatting sqref="I65:U65 I61:Q63 S63 I60:P60 I59:O59 I58:N58 I57:M57 I56:L56 I55:K55 I54:J54">
    <cfRule type="cellIs" dxfId="328" priority="433" operator="equal">
      <formula>100*(1+$D$5)</formula>
    </cfRule>
  </conditionalFormatting>
  <conditionalFormatting sqref="K52">
    <cfRule type="cellIs" dxfId="327" priority="57" operator="equal">
      <formula>100*(1+$D$5)</formula>
    </cfRule>
  </conditionalFormatting>
  <conditionalFormatting sqref="J37">
    <cfRule type="cellIs" dxfId="326" priority="54" operator="equal">
      <formula>100*(1+$D$5)</formula>
    </cfRule>
  </conditionalFormatting>
  <conditionalFormatting sqref="J43">
    <cfRule type="cellIs" dxfId="325" priority="51" operator="equal">
      <formula>100*(1+$D$5)</formula>
    </cfRule>
  </conditionalFormatting>
  <conditionalFormatting sqref="I38">
    <cfRule type="cellIs" dxfId="324" priority="44" operator="equal">
      <formula>100*(1+$D$5)</formula>
    </cfRule>
  </conditionalFormatting>
  <conditionalFormatting sqref="L45">
    <cfRule type="cellIs" dxfId="323" priority="72" operator="equal">
      <formula>100*(1+$D$5)</formula>
    </cfRule>
  </conditionalFormatting>
  <conditionalFormatting sqref="I52">
    <cfRule type="cellIs" dxfId="322" priority="37" operator="equal">
      <formula>100*(1+$D$5)</formula>
    </cfRule>
  </conditionalFormatting>
  <conditionalFormatting sqref="H39">
    <cfRule type="cellIs" dxfId="321" priority="35" operator="equal">
      <formula>100*(1+$D$5)</formula>
    </cfRule>
  </conditionalFormatting>
  <conditionalFormatting sqref="H43">
    <cfRule type="cellIs" dxfId="320" priority="33" operator="equal">
      <formula>100*(1+$D$5)</formula>
    </cfRule>
  </conditionalFormatting>
  <conditionalFormatting sqref="H47">
    <cfRule type="cellIs" dxfId="319" priority="31" operator="equal">
      <formula>100*(1+$D$5)</formula>
    </cfRule>
  </conditionalFormatting>
  <conditionalFormatting sqref="H51">
    <cfRule type="cellIs" dxfId="318" priority="29" operator="equal">
      <formula>100*(1+$D$5)</formula>
    </cfRule>
  </conditionalFormatting>
  <conditionalFormatting sqref="G40">
    <cfRule type="cellIs" dxfId="317" priority="27" operator="equal">
      <formula>100*(1+$D$5)</formula>
    </cfRule>
  </conditionalFormatting>
  <conditionalFormatting sqref="G44">
    <cfRule type="cellIs" dxfId="316" priority="25" operator="equal">
      <formula>100*(1+$D$5)</formula>
    </cfRule>
  </conditionalFormatting>
  <conditionalFormatting sqref="G48">
    <cfRule type="cellIs" dxfId="315" priority="23" operator="equal">
      <formula>100*(1+$D$5)</formula>
    </cfRule>
  </conditionalFormatting>
  <conditionalFormatting sqref="F39">
    <cfRule type="cellIs" dxfId="314" priority="21" operator="equal">
      <formula>100*(1+$D$5)</formula>
    </cfRule>
  </conditionalFormatting>
  <conditionalFormatting sqref="F43">
    <cfRule type="cellIs" dxfId="313" priority="19" operator="equal">
      <formula>100*(1+$D$5)</formula>
    </cfRule>
  </conditionalFormatting>
  <conditionalFormatting sqref="F47">
    <cfRule type="cellIs" dxfId="312" priority="17" operator="equal">
      <formula>100*(1+$D$5)</formula>
    </cfRule>
  </conditionalFormatting>
  <conditionalFormatting sqref="E40">
    <cfRule type="cellIs" dxfId="311" priority="15" operator="equal">
      <formula>100*(1+$D$5)</formula>
    </cfRule>
  </conditionalFormatting>
  <conditionalFormatting sqref="E44">
    <cfRule type="cellIs" dxfId="310" priority="13" operator="equal">
      <formula>100*(1+$D$5)</formula>
    </cfRule>
  </conditionalFormatting>
  <conditionalFormatting sqref="E48">
    <cfRule type="cellIs" dxfId="309" priority="11" operator="equal">
      <formula>100*(1+$D$5)</formula>
    </cfRule>
  </conditionalFormatting>
  <conditionalFormatting sqref="D43">
    <cfRule type="cellIs" dxfId="308" priority="9" operator="equal">
      <formula>100*(1+$D$5)</formula>
    </cfRule>
  </conditionalFormatting>
  <conditionalFormatting sqref="Y20">
    <cfRule type="cellIs" dxfId="307" priority="406" operator="equal">
      <formula>100*(1+$D$5)</formula>
    </cfRule>
  </conditionalFormatting>
  <conditionalFormatting sqref="H49">
    <cfRule type="cellIs" dxfId="306" priority="30" operator="equal">
      <formula>100*(1+$D$5)</formula>
    </cfRule>
  </conditionalFormatting>
  <conditionalFormatting sqref="I27:Q27 I28:P28 I29:O29 I30:N30 I31:M31 I32:K33 I34:J34 I35 I53">
    <cfRule type="cellIs" dxfId="305" priority="402" operator="equal">
      <formula>100*(1+$D$5)</formula>
    </cfRule>
  </conditionalFormatting>
  <conditionalFormatting sqref="S40">
    <cfRule type="cellIs" dxfId="304" priority="257" operator="equal">
      <formula>100*(1+$D$5)</formula>
    </cfRule>
  </conditionalFormatting>
  <conditionalFormatting sqref="Q30">
    <cfRule type="cellIs" dxfId="303" priority="208" operator="equal">
      <formula>100*(1+$D$5)</formula>
    </cfRule>
  </conditionalFormatting>
  <conditionalFormatting sqref="A37:G37 A38:F38 A39:E39 A49:E49 A40:D40 A48:D48 A41:C41 A47:C47 A42:B42 A46:B46 A43 A45">
    <cfRule type="cellIs" dxfId="302" priority="399" operator="equal">
      <formula>100*(1+$D$5)</formula>
    </cfRule>
  </conditionalFormatting>
  <conditionalFormatting sqref="Y22">
    <cfRule type="cellIs" dxfId="301" priority="398" operator="equal">
      <formula>100*(1+$D$5)</formula>
    </cfRule>
  </conditionalFormatting>
  <conditionalFormatting sqref="Y24">
    <cfRule type="cellIs" dxfId="300" priority="397" operator="equal">
      <formula>100*(1+$D$5)</formula>
    </cfRule>
  </conditionalFormatting>
  <conditionalFormatting sqref="Y26">
    <cfRule type="cellIs" dxfId="299" priority="396" operator="equal">
      <formula>100*(1+$D$5)</formula>
    </cfRule>
  </conditionalFormatting>
  <conditionalFormatting sqref="Y28">
    <cfRule type="cellIs" dxfId="298" priority="395" operator="equal">
      <formula>100*(1+$D$5)</formula>
    </cfRule>
  </conditionalFormatting>
  <conditionalFormatting sqref="Y30">
    <cfRule type="cellIs" dxfId="297" priority="394" operator="equal">
      <formula>100*(1+$D$5)</formula>
    </cfRule>
  </conditionalFormatting>
  <conditionalFormatting sqref="Y32">
    <cfRule type="cellIs" dxfId="296" priority="393" operator="equal">
      <formula>100*(1+$D$5)</formula>
    </cfRule>
  </conditionalFormatting>
  <conditionalFormatting sqref="Y34">
    <cfRule type="cellIs" dxfId="295" priority="392" operator="equal">
      <formula>100*(1+$D$5)</formula>
    </cfRule>
  </conditionalFormatting>
  <conditionalFormatting sqref="Y36">
    <cfRule type="cellIs" dxfId="294" priority="391" operator="equal">
      <formula>100*(1+$D$5)</formula>
    </cfRule>
  </conditionalFormatting>
  <conditionalFormatting sqref="Y38">
    <cfRule type="cellIs" dxfId="293" priority="390" operator="equal">
      <formula>100*(1+$D$5)</formula>
    </cfRule>
  </conditionalFormatting>
  <conditionalFormatting sqref="Y40">
    <cfRule type="cellIs" dxfId="292" priority="389" operator="equal">
      <formula>100*(1+$D$5)</formula>
    </cfRule>
  </conditionalFormatting>
  <conditionalFormatting sqref="Y42">
    <cfRule type="cellIs" dxfId="291" priority="388" operator="equal">
      <formula>100*(1+$D$5)</formula>
    </cfRule>
  </conditionalFormatting>
  <conditionalFormatting sqref="Y44">
    <cfRule type="cellIs" dxfId="290" priority="387" operator="equal">
      <formula>100*(1+$D$5)</formula>
    </cfRule>
  </conditionalFormatting>
  <conditionalFormatting sqref="Y46">
    <cfRule type="cellIs" dxfId="289" priority="386" operator="equal">
      <formula>100*(1+$D$5)</formula>
    </cfRule>
  </conditionalFormatting>
  <conditionalFormatting sqref="Y48">
    <cfRule type="cellIs" dxfId="288" priority="385" operator="equal">
      <formula>100*(1+$D$5)</formula>
    </cfRule>
  </conditionalFormatting>
  <conditionalFormatting sqref="Y50">
    <cfRule type="cellIs" dxfId="287" priority="384" operator="equal">
      <formula>100*(1+$D$5)</formula>
    </cfRule>
  </conditionalFormatting>
  <conditionalFormatting sqref="Y52">
    <cfRule type="cellIs" dxfId="286" priority="383" operator="equal">
      <formula>100*(1+$D$5)</formula>
    </cfRule>
  </conditionalFormatting>
  <conditionalFormatting sqref="Y54">
    <cfRule type="cellIs" dxfId="285" priority="382" operator="equal">
      <formula>100*(1+$D$5)</formula>
    </cfRule>
  </conditionalFormatting>
  <conditionalFormatting sqref="Y56">
    <cfRule type="cellIs" dxfId="284" priority="381" operator="equal">
      <formula>100*(1+$D$5)</formula>
    </cfRule>
  </conditionalFormatting>
  <conditionalFormatting sqref="Y58">
    <cfRule type="cellIs" dxfId="283" priority="380" operator="equal">
      <formula>100*(1+$D$5)</formula>
    </cfRule>
  </conditionalFormatting>
  <conditionalFormatting sqref="Y60">
    <cfRule type="cellIs" dxfId="282" priority="379" operator="equal">
      <formula>100*(1+$D$5)</formula>
    </cfRule>
  </conditionalFormatting>
  <conditionalFormatting sqref="Y62">
    <cfRule type="cellIs" dxfId="281" priority="378" operator="equal">
      <formula>100*(1+$D$5)</formula>
    </cfRule>
  </conditionalFormatting>
  <conditionalFormatting sqref="Y64">
    <cfRule type="cellIs" dxfId="280" priority="377" operator="equal">
      <formula>100*(1+$D$5)</formula>
    </cfRule>
  </conditionalFormatting>
  <conditionalFormatting sqref="Y66">
    <cfRule type="cellIs" dxfId="279" priority="376" operator="equal">
      <formula>100*(1+$D$5)</formula>
    </cfRule>
  </conditionalFormatting>
  <conditionalFormatting sqref="Y68">
    <cfRule type="cellIs" dxfId="278" priority="375" operator="equal">
      <formula>100*(1+$D$5)</formula>
    </cfRule>
  </conditionalFormatting>
  <conditionalFormatting sqref="X21">
    <cfRule type="cellIs" dxfId="277" priority="374" operator="equal">
      <formula>100*(1+$D$5)</formula>
    </cfRule>
  </conditionalFormatting>
  <conditionalFormatting sqref="X23">
    <cfRule type="cellIs" dxfId="276" priority="373" operator="equal">
      <formula>100*(1+$D$5)</formula>
    </cfRule>
  </conditionalFormatting>
  <conditionalFormatting sqref="X25">
    <cfRule type="cellIs" dxfId="275" priority="372" operator="equal">
      <formula>100*(1+$D$5)</formula>
    </cfRule>
  </conditionalFormatting>
  <conditionalFormatting sqref="X27">
    <cfRule type="cellIs" dxfId="274" priority="371" operator="equal">
      <formula>100*(1+$D$5)</formula>
    </cfRule>
  </conditionalFormatting>
  <conditionalFormatting sqref="X29">
    <cfRule type="cellIs" dxfId="273" priority="370" operator="equal">
      <formula>100*(1+$D$5)</formula>
    </cfRule>
  </conditionalFormatting>
  <conditionalFormatting sqref="X31">
    <cfRule type="cellIs" dxfId="272" priority="369" operator="equal">
      <formula>100*(1+$D$5)</formula>
    </cfRule>
  </conditionalFormatting>
  <conditionalFormatting sqref="X33">
    <cfRule type="cellIs" dxfId="271" priority="368" operator="equal">
      <formula>100*(1+$D$5)</formula>
    </cfRule>
  </conditionalFormatting>
  <conditionalFormatting sqref="X35">
    <cfRule type="cellIs" dxfId="270" priority="367" operator="equal">
      <formula>100*(1+$D$5)</formula>
    </cfRule>
  </conditionalFormatting>
  <conditionalFormatting sqref="X37">
    <cfRule type="cellIs" dxfId="269" priority="366" operator="equal">
      <formula>100*(1+$D$5)</formula>
    </cfRule>
  </conditionalFormatting>
  <conditionalFormatting sqref="X39">
    <cfRule type="cellIs" dxfId="268" priority="365" operator="equal">
      <formula>100*(1+$D$5)</formula>
    </cfRule>
  </conditionalFormatting>
  <conditionalFormatting sqref="X41">
    <cfRule type="cellIs" dxfId="267" priority="364" operator="equal">
      <formula>100*(1+$D$5)</formula>
    </cfRule>
  </conditionalFormatting>
  <conditionalFormatting sqref="X43">
    <cfRule type="cellIs" dxfId="266" priority="363" operator="equal">
      <formula>100*(1+$D$5)</formula>
    </cfRule>
  </conditionalFormatting>
  <conditionalFormatting sqref="X45">
    <cfRule type="cellIs" dxfId="265" priority="362" operator="equal">
      <formula>100*(1+$D$5)</formula>
    </cfRule>
  </conditionalFormatting>
  <conditionalFormatting sqref="X47">
    <cfRule type="cellIs" dxfId="264" priority="361" operator="equal">
      <formula>100*(1+$D$5)</formula>
    </cfRule>
  </conditionalFormatting>
  <conditionalFormatting sqref="X49">
    <cfRule type="cellIs" dxfId="263" priority="360" operator="equal">
      <formula>100*(1+$D$5)</formula>
    </cfRule>
  </conditionalFormatting>
  <conditionalFormatting sqref="X51">
    <cfRule type="cellIs" dxfId="262" priority="359" operator="equal">
      <formula>100*(1+$D$5)</formula>
    </cfRule>
  </conditionalFormatting>
  <conditionalFormatting sqref="X53">
    <cfRule type="cellIs" dxfId="261" priority="358" operator="equal">
      <formula>100*(1+$D$5)</formula>
    </cfRule>
  </conditionalFormatting>
  <conditionalFormatting sqref="X55">
    <cfRule type="cellIs" dxfId="260" priority="357" operator="equal">
      <formula>100*(1+$D$5)</formula>
    </cfRule>
  </conditionalFormatting>
  <conditionalFormatting sqref="X57">
    <cfRule type="cellIs" dxfId="259" priority="356" operator="equal">
      <formula>100*(1+$D$5)</formula>
    </cfRule>
  </conditionalFormatting>
  <conditionalFormatting sqref="X59">
    <cfRule type="cellIs" dxfId="258" priority="355" operator="equal">
      <formula>100*(1+$D$5)</formula>
    </cfRule>
  </conditionalFormatting>
  <conditionalFormatting sqref="X61">
    <cfRule type="cellIs" dxfId="257" priority="354" operator="equal">
      <formula>100*(1+$D$5)</formula>
    </cfRule>
  </conditionalFormatting>
  <conditionalFormatting sqref="X63">
    <cfRule type="cellIs" dxfId="256" priority="353" operator="equal">
      <formula>100*(1+$D$5)</formula>
    </cfRule>
  </conditionalFormatting>
  <conditionalFormatting sqref="X65">
    <cfRule type="cellIs" dxfId="255" priority="352" operator="equal">
      <formula>100*(1+$D$5)</formula>
    </cfRule>
  </conditionalFormatting>
  <conditionalFormatting sqref="X67">
    <cfRule type="cellIs" dxfId="254" priority="351" operator="equal">
      <formula>100*(1+$D$5)</formula>
    </cfRule>
  </conditionalFormatting>
  <conditionalFormatting sqref="W22">
    <cfRule type="cellIs" dxfId="253" priority="350" operator="equal">
      <formula>100*(1+$D$5)</formula>
    </cfRule>
  </conditionalFormatting>
  <conditionalFormatting sqref="W24">
    <cfRule type="cellIs" dxfId="252" priority="349" operator="equal">
      <formula>100*(1+$D$5)</formula>
    </cfRule>
  </conditionalFormatting>
  <conditionalFormatting sqref="W26">
    <cfRule type="cellIs" dxfId="251" priority="348" operator="equal">
      <formula>100*(1+$D$5)</formula>
    </cfRule>
  </conditionalFormatting>
  <conditionalFormatting sqref="W28">
    <cfRule type="cellIs" dxfId="250" priority="347" operator="equal">
      <formula>100*(1+$D$5)</formula>
    </cfRule>
  </conditionalFormatting>
  <conditionalFormatting sqref="W30">
    <cfRule type="cellIs" dxfId="249" priority="346" operator="equal">
      <formula>100*(1+$D$5)</formula>
    </cfRule>
  </conditionalFormatting>
  <conditionalFormatting sqref="W32">
    <cfRule type="cellIs" dxfId="248" priority="345" operator="equal">
      <formula>100*(1+$D$5)</formula>
    </cfRule>
  </conditionalFormatting>
  <conditionalFormatting sqref="W34">
    <cfRule type="cellIs" dxfId="247" priority="344" operator="equal">
      <formula>100*(1+$D$5)</formula>
    </cfRule>
  </conditionalFormatting>
  <conditionalFormatting sqref="W36">
    <cfRule type="cellIs" dxfId="246" priority="343" operator="equal">
      <formula>100*(1+$D$5)</formula>
    </cfRule>
  </conditionalFormatting>
  <conditionalFormatting sqref="W38">
    <cfRule type="cellIs" dxfId="245" priority="342" operator="equal">
      <formula>100*(1+$D$5)</formula>
    </cfRule>
  </conditionalFormatting>
  <conditionalFormatting sqref="W40">
    <cfRule type="cellIs" dxfId="244" priority="341" operator="equal">
      <formula>100*(1+$D$5)</formula>
    </cfRule>
  </conditionalFormatting>
  <conditionalFormatting sqref="W42">
    <cfRule type="cellIs" dxfId="243" priority="340" operator="equal">
      <formula>100*(1+$D$5)</formula>
    </cfRule>
  </conditionalFormatting>
  <conditionalFormatting sqref="W44">
    <cfRule type="cellIs" dxfId="242" priority="339" operator="equal">
      <formula>100*(1+$D$5)</formula>
    </cfRule>
  </conditionalFormatting>
  <conditionalFormatting sqref="W46">
    <cfRule type="cellIs" dxfId="241" priority="338" operator="equal">
      <formula>100*(1+$D$5)</formula>
    </cfRule>
  </conditionalFormatting>
  <conditionalFormatting sqref="W48">
    <cfRule type="cellIs" dxfId="240" priority="337" operator="equal">
      <formula>100*(1+$D$5)</formula>
    </cfRule>
  </conditionalFormatting>
  <conditionalFormatting sqref="W50">
    <cfRule type="cellIs" dxfId="239" priority="336" operator="equal">
      <formula>100*(1+$D$5)</formula>
    </cfRule>
  </conditionalFormatting>
  <conditionalFormatting sqref="W52">
    <cfRule type="cellIs" dxfId="238" priority="335" operator="equal">
      <formula>100*(1+$D$5)</formula>
    </cfRule>
  </conditionalFormatting>
  <conditionalFormatting sqref="W54">
    <cfRule type="cellIs" dxfId="237" priority="334" operator="equal">
      <formula>100*(1+$D$5)</formula>
    </cfRule>
  </conditionalFormatting>
  <conditionalFormatting sqref="W56">
    <cfRule type="cellIs" dxfId="236" priority="333" operator="equal">
      <formula>100*(1+$D$5)</formula>
    </cfRule>
  </conditionalFormatting>
  <conditionalFormatting sqref="W58">
    <cfRule type="cellIs" dxfId="235" priority="332" operator="equal">
      <formula>100*(1+$D$5)</formula>
    </cfRule>
  </conditionalFormatting>
  <conditionalFormatting sqref="W60">
    <cfRule type="cellIs" dxfId="234" priority="331" operator="equal">
      <formula>100*(1+$D$5)</formula>
    </cfRule>
  </conditionalFormatting>
  <conditionalFormatting sqref="W62">
    <cfRule type="cellIs" dxfId="233" priority="330" operator="equal">
      <formula>100*(1+$D$5)</formula>
    </cfRule>
  </conditionalFormatting>
  <conditionalFormatting sqref="W64">
    <cfRule type="cellIs" dxfId="232" priority="329" operator="equal">
      <formula>100*(1+$D$5)</formula>
    </cfRule>
  </conditionalFormatting>
  <conditionalFormatting sqref="W66">
    <cfRule type="cellIs" dxfId="231" priority="328" operator="equal">
      <formula>100*(1+$D$5)</formula>
    </cfRule>
  </conditionalFormatting>
  <conditionalFormatting sqref="V23">
    <cfRule type="cellIs" dxfId="230" priority="327" operator="equal">
      <formula>100*(1+$D$5)</formula>
    </cfRule>
  </conditionalFormatting>
  <conditionalFormatting sqref="V25">
    <cfRule type="cellIs" dxfId="229" priority="326" operator="equal">
      <formula>100*(1+$D$5)</formula>
    </cfRule>
  </conditionalFormatting>
  <conditionalFormatting sqref="V27">
    <cfRule type="cellIs" dxfId="228" priority="325" operator="equal">
      <formula>100*(1+$D$5)</formula>
    </cfRule>
  </conditionalFormatting>
  <conditionalFormatting sqref="V29">
    <cfRule type="cellIs" dxfId="227" priority="324" operator="equal">
      <formula>100*(1+$D$5)</formula>
    </cfRule>
  </conditionalFormatting>
  <conditionalFormatting sqref="V31">
    <cfRule type="cellIs" dxfId="226" priority="323" operator="equal">
      <formula>100*(1+$D$5)</formula>
    </cfRule>
  </conditionalFormatting>
  <conditionalFormatting sqref="V33">
    <cfRule type="cellIs" dxfId="225" priority="322" operator="equal">
      <formula>100*(1+$D$5)</formula>
    </cfRule>
  </conditionalFormatting>
  <conditionalFormatting sqref="V35">
    <cfRule type="cellIs" dxfId="224" priority="321" operator="equal">
      <formula>100*(1+$D$5)</formula>
    </cfRule>
  </conditionalFormatting>
  <conditionalFormatting sqref="V37">
    <cfRule type="cellIs" dxfId="223" priority="320" operator="equal">
      <formula>100*(1+$D$5)</formula>
    </cfRule>
  </conditionalFormatting>
  <conditionalFormatting sqref="V39">
    <cfRule type="cellIs" dxfId="222" priority="319" operator="equal">
      <formula>100*(1+$D$5)</formula>
    </cfRule>
  </conditionalFormatting>
  <conditionalFormatting sqref="V41">
    <cfRule type="cellIs" dxfId="221" priority="318" operator="equal">
      <formula>100*(1+$D$5)</formula>
    </cfRule>
  </conditionalFormatting>
  <conditionalFormatting sqref="V43">
    <cfRule type="cellIs" dxfId="220" priority="317" operator="equal">
      <formula>100*(1+$D$5)</formula>
    </cfRule>
  </conditionalFormatting>
  <conditionalFormatting sqref="V45">
    <cfRule type="cellIs" dxfId="219" priority="316" operator="equal">
      <formula>100*(1+$D$5)</formula>
    </cfRule>
  </conditionalFormatting>
  <conditionalFormatting sqref="V47">
    <cfRule type="cellIs" dxfId="218" priority="315" operator="equal">
      <formula>100*(1+$D$5)</formula>
    </cfRule>
  </conditionalFormatting>
  <conditionalFormatting sqref="V49">
    <cfRule type="cellIs" dxfId="217" priority="314" operator="equal">
      <formula>100*(1+$D$5)</formula>
    </cfRule>
  </conditionalFormatting>
  <conditionalFormatting sqref="V51">
    <cfRule type="cellIs" dxfId="216" priority="313" operator="equal">
      <formula>100*(1+$D$5)</formula>
    </cfRule>
  </conditionalFormatting>
  <conditionalFormatting sqref="V53">
    <cfRule type="cellIs" dxfId="215" priority="312" operator="equal">
      <formula>100*(1+$D$5)</formula>
    </cfRule>
  </conditionalFormatting>
  <conditionalFormatting sqref="V55">
    <cfRule type="cellIs" dxfId="214" priority="311" operator="equal">
      <formula>100*(1+$D$5)</formula>
    </cfRule>
  </conditionalFormatting>
  <conditionalFormatting sqref="V57">
    <cfRule type="cellIs" dxfId="213" priority="310" operator="equal">
      <formula>100*(1+$D$5)</formula>
    </cfRule>
  </conditionalFormatting>
  <conditionalFormatting sqref="V59">
    <cfRule type="cellIs" dxfId="212" priority="309" operator="equal">
      <formula>100*(1+$D$5)</formula>
    </cfRule>
  </conditionalFormatting>
  <conditionalFormatting sqref="V61">
    <cfRule type="cellIs" dxfId="211" priority="308" operator="equal">
      <formula>100*(1+$D$5)</formula>
    </cfRule>
  </conditionalFormatting>
  <conditionalFormatting sqref="V63">
    <cfRule type="cellIs" dxfId="210" priority="307" operator="equal">
      <formula>100*(1+$D$5)</formula>
    </cfRule>
  </conditionalFormatting>
  <conditionalFormatting sqref="V65">
    <cfRule type="cellIs" dxfId="209" priority="306" operator="equal">
      <formula>100*(1+$D$5)</formula>
    </cfRule>
  </conditionalFormatting>
  <conditionalFormatting sqref="U24">
    <cfRule type="cellIs" dxfId="208" priority="305" operator="equal">
      <formula>100*(1+$D$5)</formula>
    </cfRule>
  </conditionalFormatting>
  <conditionalFormatting sqref="U26">
    <cfRule type="cellIs" dxfId="207" priority="304" operator="equal">
      <formula>100*(1+$D$5)</formula>
    </cfRule>
  </conditionalFormatting>
  <conditionalFormatting sqref="U28">
    <cfRule type="cellIs" dxfId="206" priority="303" operator="equal">
      <formula>100*(1+$D$5)</formula>
    </cfRule>
  </conditionalFormatting>
  <conditionalFormatting sqref="U30">
    <cfRule type="cellIs" dxfId="205" priority="302" operator="equal">
      <formula>100*(1+$D$5)</formula>
    </cfRule>
  </conditionalFormatting>
  <conditionalFormatting sqref="U32">
    <cfRule type="cellIs" dxfId="204" priority="301" operator="equal">
      <formula>100*(1+$D$5)</formula>
    </cfRule>
  </conditionalFormatting>
  <conditionalFormatting sqref="U34">
    <cfRule type="cellIs" dxfId="203" priority="300" operator="equal">
      <formula>100*(1+$D$5)</formula>
    </cfRule>
  </conditionalFormatting>
  <conditionalFormatting sqref="U36">
    <cfRule type="cellIs" dxfId="202" priority="299" operator="equal">
      <formula>100*(1+$D$5)</formula>
    </cfRule>
  </conditionalFormatting>
  <conditionalFormatting sqref="U38">
    <cfRule type="cellIs" dxfId="201" priority="298" operator="equal">
      <formula>100*(1+$D$5)</formula>
    </cfRule>
  </conditionalFormatting>
  <conditionalFormatting sqref="U40">
    <cfRule type="cellIs" dxfId="200" priority="297" operator="equal">
      <formula>100*(1+$D$5)</formula>
    </cfRule>
  </conditionalFormatting>
  <conditionalFormatting sqref="U42">
    <cfRule type="cellIs" dxfId="199" priority="296" operator="equal">
      <formula>100*(1+$D$5)</formula>
    </cfRule>
  </conditionalFormatting>
  <conditionalFormatting sqref="U44">
    <cfRule type="cellIs" dxfId="198" priority="295" operator="equal">
      <formula>100*(1+$D$5)</formula>
    </cfRule>
  </conditionalFormatting>
  <conditionalFormatting sqref="U46">
    <cfRule type="cellIs" dxfId="197" priority="294" operator="equal">
      <formula>100*(1+$D$5)</formula>
    </cfRule>
  </conditionalFormatting>
  <conditionalFormatting sqref="U48">
    <cfRule type="cellIs" dxfId="196" priority="293" operator="equal">
      <formula>100*(1+$D$5)</formula>
    </cfRule>
  </conditionalFormatting>
  <conditionalFormatting sqref="U50">
    <cfRule type="cellIs" dxfId="195" priority="292" operator="equal">
      <formula>100*(1+$D$5)</formula>
    </cfRule>
  </conditionalFormatting>
  <conditionalFormatting sqref="U52">
    <cfRule type="cellIs" dxfId="194" priority="291" operator="equal">
      <formula>100*(1+$D$5)</formula>
    </cfRule>
  </conditionalFormatting>
  <conditionalFormatting sqref="U54">
    <cfRule type="cellIs" dxfId="193" priority="290" operator="equal">
      <formula>100*(1+$D$5)</formula>
    </cfRule>
  </conditionalFormatting>
  <conditionalFormatting sqref="U56">
    <cfRule type="cellIs" dxfId="192" priority="289" operator="equal">
      <formula>100*(1+$D$5)</formula>
    </cfRule>
  </conditionalFormatting>
  <conditionalFormatting sqref="U58">
    <cfRule type="cellIs" dxfId="191" priority="288" operator="equal">
      <formula>100*(1+$D$5)</formula>
    </cfRule>
  </conditionalFormatting>
  <conditionalFormatting sqref="U60">
    <cfRule type="cellIs" dxfId="190" priority="287" operator="equal">
      <formula>100*(1+$D$5)</formula>
    </cfRule>
  </conditionalFormatting>
  <conditionalFormatting sqref="U62">
    <cfRule type="cellIs" dxfId="189" priority="286" operator="equal">
      <formula>100*(1+$D$5)</formula>
    </cfRule>
  </conditionalFormatting>
  <conditionalFormatting sqref="U64">
    <cfRule type="cellIs" dxfId="188" priority="285" operator="equal">
      <formula>100*(1+$D$5)</formula>
    </cfRule>
  </conditionalFormatting>
  <conditionalFormatting sqref="T25">
    <cfRule type="cellIs" dxfId="187" priority="284" operator="equal">
      <formula>100*(1+$D$5)</formula>
    </cfRule>
  </conditionalFormatting>
  <conditionalFormatting sqref="T27">
    <cfRule type="cellIs" dxfId="186" priority="283" operator="equal">
      <formula>100*(1+$D$5)</formula>
    </cfRule>
  </conditionalFormatting>
  <conditionalFormatting sqref="T29">
    <cfRule type="cellIs" dxfId="185" priority="282" operator="equal">
      <formula>100*(1+$D$5)</formula>
    </cfRule>
  </conditionalFormatting>
  <conditionalFormatting sqref="T31">
    <cfRule type="cellIs" dxfId="184" priority="281" operator="equal">
      <formula>100*(1+$D$5)</formula>
    </cfRule>
  </conditionalFormatting>
  <conditionalFormatting sqref="T33">
    <cfRule type="cellIs" dxfId="183" priority="280" operator="equal">
      <formula>100*(1+$D$5)</formula>
    </cfRule>
  </conditionalFormatting>
  <conditionalFormatting sqref="T35">
    <cfRule type="cellIs" dxfId="182" priority="279" operator="equal">
      <formula>100*(1+$D$5)</formula>
    </cfRule>
  </conditionalFormatting>
  <conditionalFormatting sqref="T37">
    <cfRule type="cellIs" dxfId="181" priority="278" operator="equal">
      <formula>100*(1+$D$5)</formula>
    </cfRule>
  </conditionalFormatting>
  <conditionalFormatting sqref="T39">
    <cfRule type="cellIs" dxfId="180" priority="277" operator="equal">
      <formula>100*(1+$D$5)</formula>
    </cfRule>
  </conditionalFormatting>
  <conditionalFormatting sqref="T41">
    <cfRule type="cellIs" dxfId="179" priority="276" operator="equal">
      <formula>100*(1+$D$5)</formula>
    </cfRule>
  </conditionalFormatting>
  <conditionalFormatting sqref="T43">
    <cfRule type="cellIs" dxfId="178" priority="275" operator="equal">
      <formula>100*(1+$D$5)</formula>
    </cfRule>
  </conditionalFormatting>
  <conditionalFormatting sqref="T45">
    <cfRule type="cellIs" dxfId="177" priority="274" operator="equal">
      <formula>100*(1+$D$5)</formula>
    </cfRule>
  </conditionalFormatting>
  <conditionalFormatting sqref="T47">
    <cfRule type="cellIs" dxfId="176" priority="273" operator="equal">
      <formula>100*(1+$D$5)</formula>
    </cfRule>
  </conditionalFormatting>
  <conditionalFormatting sqref="T49">
    <cfRule type="cellIs" dxfId="175" priority="272" operator="equal">
      <formula>100*(1+$D$5)</formula>
    </cfRule>
  </conditionalFormatting>
  <conditionalFormatting sqref="T51">
    <cfRule type="cellIs" dxfId="174" priority="271" operator="equal">
      <formula>100*(1+$D$5)</formula>
    </cfRule>
  </conditionalFormatting>
  <conditionalFormatting sqref="T53">
    <cfRule type="cellIs" dxfId="173" priority="270" operator="equal">
      <formula>100*(1+$D$5)</formula>
    </cfRule>
  </conditionalFormatting>
  <conditionalFormatting sqref="T55">
    <cfRule type="cellIs" dxfId="172" priority="269" operator="equal">
      <formula>100*(1+$D$5)</formula>
    </cfRule>
  </conditionalFormatting>
  <conditionalFormatting sqref="T57">
    <cfRule type="cellIs" dxfId="171" priority="268" operator="equal">
      <formula>100*(1+$D$5)</formula>
    </cfRule>
  </conditionalFormatting>
  <conditionalFormatting sqref="T59">
    <cfRule type="cellIs" dxfId="170" priority="267" operator="equal">
      <formula>100*(1+$D$5)</formula>
    </cfRule>
  </conditionalFormatting>
  <conditionalFormatting sqref="T61">
    <cfRule type="cellIs" dxfId="169" priority="266" operator="equal">
      <formula>100*(1+$D$5)</formula>
    </cfRule>
  </conditionalFormatting>
  <conditionalFormatting sqref="T63">
    <cfRule type="cellIs" dxfId="168" priority="265" operator="equal">
      <formula>100*(1+$D$5)</formula>
    </cfRule>
  </conditionalFormatting>
  <conditionalFormatting sqref="S26">
    <cfRule type="cellIs" dxfId="167" priority="264" operator="equal">
      <formula>100*(1+$D$5)</formula>
    </cfRule>
  </conditionalFormatting>
  <conditionalFormatting sqref="S28">
    <cfRule type="cellIs" dxfId="166" priority="263" operator="equal">
      <formula>100*(1+$D$5)</formula>
    </cfRule>
  </conditionalFormatting>
  <conditionalFormatting sqref="S30">
    <cfRule type="cellIs" dxfId="165" priority="262" operator="equal">
      <formula>100*(1+$D$5)</formula>
    </cfRule>
  </conditionalFormatting>
  <conditionalFormatting sqref="S32">
    <cfRule type="cellIs" dxfId="164" priority="261" operator="equal">
      <formula>100*(1+$D$5)</formula>
    </cfRule>
  </conditionalFormatting>
  <conditionalFormatting sqref="S34">
    <cfRule type="cellIs" dxfId="163" priority="260" operator="equal">
      <formula>100*(1+$D$5)</formula>
    </cfRule>
  </conditionalFormatting>
  <conditionalFormatting sqref="S36">
    <cfRule type="cellIs" dxfId="162" priority="259" operator="equal">
      <formula>100*(1+$D$5)</formula>
    </cfRule>
  </conditionalFormatting>
  <conditionalFormatting sqref="S38">
    <cfRule type="cellIs" dxfId="161" priority="258" operator="equal">
      <formula>100*(1+$D$5)</formula>
    </cfRule>
  </conditionalFormatting>
  <conditionalFormatting sqref="S42">
    <cfRule type="cellIs" dxfId="160" priority="256" operator="equal">
      <formula>100*(1+$D$5)</formula>
    </cfRule>
  </conditionalFormatting>
  <conditionalFormatting sqref="S44">
    <cfRule type="cellIs" dxfId="159" priority="255" operator="equal">
      <formula>100*(1+$D$5)</formula>
    </cfRule>
  </conditionalFormatting>
  <conditionalFormatting sqref="S46">
    <cfRule type="cellIs" dxfId="158" priority="254" operator="equal">
      <formula>100*(1+$D$5)</formula>
    </cfRule>
  </conditionalFormatting>
  <conditionalFormatting sqref="S48">
    <cfRule type="cellIs" dxfId="157" priority="253" operator="equal">
      <formula>100*(1+$D$5)</formula>
    </cfRule>
  </conditionalFormatting>
  <conditionalFormatting sqref="S50">
    <cfRule type="cellIs" dxfId="156" priority="252" operator="equal">
      <formula>100*(1+$D$5)</formula>
    </cfRule>
  </conditionalFormatting>
  <conditionalFormatting sqref="S52">
    <cfRule type="cellIs" dxfId="155" priority="251" operator="equal">
      <formula>100*(1+$D$5)</formula>
    </cfRule>
  </conditionalFormatting>
  <conditionalFormatting sqref="S54">
    <cfRule type="cellIs" dxfId="154" priority="250" operator="equal">
      <formula>100*(1+$D$5)</formula>
    </cfRule>
  </conditionalFormatting>
  <conditionalFormatting sqref="S56">
    <cfRule type="cellIs" dxfId="153" priority="249" operator="equal">
      <formula>100*(1+$D$5)</formula>
    </cfRule>
  </conditionalFormatting>
  <conditionalFormatting sqref="S58">
    <cfRule type="cellIs" dxfId="152" priority="248" operator="equal">
      <formula>100*(1+$D$5)</formula>
    </cfRule>
  </conditionalFormatting>
  <conditionalFormatting sqref="S60">
    <cfRule type="cellIs" dxfId="151" priority="247" operator="equal">
      <formula>100*(1+$D$5)</formula>
    </cfRule>
  </conditionalFormatting>
  <conditionalFormatting sqref="S62">
    <cfRule type="cellIs" dxfId="150" priority="246" operator="equal">
      <formula>100*(1+$D$5)</formula>
    </cfRule>
  </conditionalFormatting>
  <conditionalFormatting sqref="R27">
    <cfRule type="cellIs" dxfId="149" priority="245" operator="equal">
      <formula>100*(1+$D$5)</formula>
    </cfRule>
  </conditionalFormatting>
  <conditionalFormatting sqref="F49">
    <cfRule type="cellIs" dxfId="148" priority="16" operator="equal">
      <formula>100*(1+$D$5)</formula>
    </cfRule>
  </conditionalFormatting>
  <conditionalFormatting sqref="E42">
    <cfRule type="cellIs" dxfId="147" priority="14" operator="equal">
      <formula>100*(1+$D$5)</formula>
    </cfRule>
  </conditionalFormatting>
  <conditionalFormatting sqref="E46">
    <cfRule type="cellIs" dxfId="146" priority="12" operator="equal">
      <formula>100*(1+$D$5)</formula>
    </cfRule>
  </conditionalFormatting>
  <conditionalFormatting sqref="D41">
    <cfRule type="cellIs" dxfId="145" priority="10" operator="equal">
      <formula>100*(1+$D$5)</formula>
    </cfRule>
  </conditionalFormatting>
  <conditionalFormatting sqref="D45">
    <cfRule type="cellIs" dxfId="144" priority="8" operator="equal">
      <formula>100*(1+$D$5)</formula>
    </cfRule>
  </conditionalFormatting>
  <conditionalFormatting sqref="D47">
    <cfRule type="cellIs" dxfId="143" priority="7" operator="equal">
      <formula>100*(1+$D$5)</formula>
    </cfRule>
  </conditionalFormatting>
  <conditionalFormatting sqref="C42">
    <cfRule type="cellIs" dxfId="142" priority="6" operator="equal">
      <formula>100*(1+$D$5)</formula>
    </cfRule>
  </conditionalFormatting>
  <conditionalFormatting sqref="C44">
    <cfRule type="cellIs" dxfId="141" priority="5" operator="equal">
      <formula>100*(1+$D$5)</formula>
    </cfRule>
  </conditionalFormatting>
  <conditionalFormatting sqref="C46">
    <cfRule type="cellIs" dxfId="140" priority="4" operator="equal">
      <formula>100*(1+$D$5)</formula>
    </cfRule>
  </conditionalFormatting>
  <conditionalFormatting sqref="B43">
    <cfRule type="cellIs" dxfId="139" priority="3" operator="equal">
      <formula>100*(1+$D$5)</formula>
    </cfRule>
  </conditionalFormatting>
  <conditionalFormatting sqref="B45">
    <cfRule type="cellIs" dxfId="138" priority="2" operator="equal">
      <formula>100*(1+$D$5)</formula>
    </cfRule>
  </conditionalFormatting>
  <conditionalFormatting sqref="R29">
    <cfRule type="cellIs" dxfId="137" priority="227" operator="equal">
      <formula>100*(1+$D$5)</formula>
    </cfRule>
  </conditionalFormatting>
  <conditionalFormatting sqref="R31">
    <cfRule type="cellIs" dxfId="136" priority="226" operator="equal">
      <formula>100*(1+$D$5)</formula>
    </cfRule>
  </conditionalFormatting>
  <conditionalFormatting sqref="R33">
    <cfRule type="cellIs" dxfId="135" priority="225" operator="equal">
      <formula>100*(1+$D$5)</formula>
    </cfRule>
  </conditionalFormatting>
  <conditionalFormatting sqref="R35">
    <cfRule type="cellIs" dxfId="134" priority="224" operator="equal">
      <formula>100*(1+$D$5)</formula>
    </cfRule>
  </conditionalFormatting>
  <conditionalFormatting sqref="R37">
    <cfRule type="cellIs" dxfId="133" priority="223" operator="equal">
      <formula>100*(1+$D$5)</formula>
    </cfRule>
  </conditionalFormatting>
  <conditionalFormatting sqref="R39">
    <cfRule type="cellIs" dxfId="132" priority="222" operator="equal">
      <formula>100*(1+$D$5)</formula>
    </cfRule>
  </conditionalFormatting>
  <conditionalFormatting sqref="R41">
    <cfRule type="cellIs" dxfId="131" priority="221" operator="equal">
      <formula>100*(1+$D$5)</formula>
    </cfRule>
  </conditionalFormatting>
  <conditionalFormatting sqref="R43">
    <cfRule type="cellIs" dxfId="130" priority="220" operator="equal">
      <formula>100*(1+$D$5)</formula>
    </cfRule>
  </conditionalFormatting>
  <conditionalFormatting sqref="R45">
    <cfRule type="cellIs" dxfId="129" priority="219" operator="equal">
      <formula>100*(1+$D$5)</formula>
    </cfRule>
  </conditionalFormatting>
  <conditionalFormatting sqref="R47">
    <cfRule type="cellIs" dxfId="128" priority="218" operator="equal">
      <formula>100*(1+$D$5)</formula>
    </cfRule>
  </conditionalFormatting>
  <conditionalFormatting sqref="R49">
    <cfRule type="cellIs" dxfId="127" priority="217" operator="equal">
      <formula>100*(1+$D$5)</formula>
    </cfRule>
  </conditionalFormatting>
  <conditionalFormatting sqref="R51">
    <cfRule type="cellIs" dxfId="126" priority="216" operator="equal">
      <formula>100*(1+$D$5)</formula>
    </cfRule>
  </conditionalFormatting>
  <conditionalFormatting sqref="R53">
    <cfRule type="cellIs" dxfId="125" priority="215" operator="equal">
      <formula>100*(1+$D$5)</formula>
    </cfRule>
  </conditionalFormatting>
  <conditionalFormatting sqref="R55">
    <cfRule type="cellIs" dxfId="124" priority="214" operator="equal">
      <formula>100*(1+$D$5)</formula>
    </cfRule>
  </conditionalFormatting>
  <conditionalFormatting sqref="R57">
    <cfRule type="cellIs" dxfId="123" priority="213" operator="equal">
      <formula>100*(1+$D$5)</formula>
    </cfRule>
  </conditionalFormatting>
  <conditionalFormatting sqref="R59">
    <cfRule type="cellIs" dxfId="122" priority="212" operator="equal">
      <formula>100*(1+$D$5)</formula>
    </cfRule>
  </conditionalFormatting>
  <conditionalFormatting sqref="R61">
    <cfRule type="cellIs" dxfId="121" priority="211" operator="equal">
      <formula>100*(1+$D$5)</formula>
    </cfRule>
  </conditionalFormatting>
  <conditionalFormatting sqref="R63">
    <cfRule type="cellIs" dxfId="120" priority="210" operator="equal">
      <formula>100*(1+$D$5)</formula>
    </cfRule>
  </conditionalFormatting>
  <conditionalFormatting sqref="Q28">
    <cfRule type="cellIs" dxfId="119" priority="209" operator="equal">
      <formula>100*(1+$D$5)</formula>
    </cfRule>
  </conditionalFormatting>
  <conditionalFormatting sqref="Q32">
    <cfRule type="cellIs" dxfId="118" priority="207" operator="equal">
      <formula>100*(1+$D$5)</formula>
    </cfRule>
  </conditionalFormatting>
  <conditionalFormatting sqref="Q34">
    <cfRule type="cellIs" dxfId="117" priority="206" operator="equal">
      <formula>100*(1+$D$5)</formula>
    </cfRule>
  </conditionalFormatting>
  <conditionalFormatting sqref="Q36">
    <cfRule type="cellIs" dxfId="116" priority="205" operator="equal">
      <formula>100*(1+$D$5)</formula>
    </cfRule>
  </conditionalFormatting>
  <conditionalFormatting sqref="Q38">
    <cfRule type="cellIs" dxfId="115" priority="204" operator="equal">
      <formula>100*(1+$D$5)</formula>
    </cfRule>
  </conditionalFormatting>
  <conditionalFormatting sqref="Q40">
    <cfRule type="cellIs" dxfId="114" priority="203" operator="equal">
      <formula>100*(1+$D$5)</formula>
    </cfRule>
  </conditionalFormatting>
  <conditionalFormatting sqref="Q42">
    <cfRule type="cellIs" dxfId="113" priority="202" operator="equal">
      <formula>100*(1+$D$5)</formula>
    </cfRule>
  </conditionalFormatting>
  <conditionalFormatting sqref="Q44">
    <cfRule type="cellIs" dxfId="112" priority="201" operator="equal">
      <formula>100*(1+$D$5)</formula>
    </cfRule>
  </conditionalFormatting>
  <conditionalFormatting sqref="Q46">
    <cfRule type="cellIs" dxfId="111" priority="200" operator="equal">
      <formula>100*(1+$D$5)</formula>
    </cfRule>
  </conditionalFormatting>
  <conditionalFormatting sqref="Q48">
    <cfRule type="cellIs" dxfId="110" priority="199" operator="equal">
      <formula>100*(1+$D$5)</formula>
    </cfRule>
  </conditionalFormatting>
  <conditionalFormatting sqref="Q50">
    <cfRule type="cellIs" dxfId="109" priority="198" operator="equal">
      <formula>100*(1+$D$5)</formula>
    </cfRule>
  </conditionalFormatting>
  <conditionalFormatting sqref="Q52">
    <cfRule type="cellIs" dxfId="108" priority="197" operator="equal">
      <formula>100*(1+$D$5)</formula>
    </cfRule>
  </conditionalFormatting>
  <conditionalFormatting sqref="Q54">
    <cfRule type="cellIs" dxfId="107" priority="196" operator="equal">
      <formula>100*(1+$D$5)</formula>
    </cfRule>
  </conditionalFormatting>
  <conditionalFormatting sqref="Q56">
    <cfRule type="cellIs" dxfId="106" priority="195" operator="equal">
      <formula>100*(1+$D$5)</formula>
    </cfRule>
  </conditionalFormatting>
  <conditionalFormatting sqref="Q58">
    <cfRule type="cellIs" dxfId="105" priority="194" operator="equal">
      <formula>100*(1+$D$5)</formula>
    </cfRule>
  </conditionalFormatting>
  <conditionalFormatting sqref="Q60">
    <cfRule type="cellIs" dxfId="104" priority="193" operator="equal">
      <formula>100*(1+$D$5)</formula>
    </cfRule>
  </conditionalFormatting>
  <conditionalFormatting sqref="P29">
    <cfRule type="cellIs" dxfId="103" priority="192" operator="equal">
      <formula>100*(1+$D$5)</formula>
    </cfRule>
  </conditionalFormatting>
  <conditionalFormatting sqref="P31">
    <cfRule type="cellIs" dxfId="102" priority="191" operator="equal">
      <formula>100*(1+$D$5)</formula>
    </cfRule>
  </conditionalFormatting>
  <conditionalFormatting sqref="P33">
    <cfRule type="cellIs" dxfId="101" priority="190" operator="equal">
      <formula>100*(1+$D$5)</formula>
    </cfRule>
  </conditionalFormatting>
  <conditionalFormatting sqref="P35">
    <cfRule type="cellIs" dxfId="100" priority="189" operator="equal">
      <formula>100*(1+$D$5)</formula>
    </cfRule>
  </conditionalFormatting>
  <conditionalFormatting sqref="P37">
    <cfRule type="cellIs" dxfId="99" priority="188" operator="equal">
      <formula>100*(1+$D$5)</formula>
    </cfRule>
  </conditionalFormatting>
  <conditionalFormatting sqref="P39">
    <cfRule type="cellIs" dxfId="98" priority="187" operator="equal">
      <formula>100*(1+$D$5)</formula>
    </cfRule>
  </conditionalFormatting>
  <conditionalFormatting sqref="P41">
    <cfRule type="cellIs" dxfId="97" priority="186" operator="equal">
      <formula>100*(1+$D$5)</formula>
    </cfRule>
  </conditionalFormatting>
  <conditionalFormatting sqref="P43">
    <cfRule type="cellIs" dxfId="96" priority="185" operator="equal">
      <formula>100*(1+$D$5)</formula>
    </cfRule>
  </conditionalFormatting>
  <conditionalFormatting sqref="P45">
    <cfRule type="cellIs" dxfId="95" priority="184" operator="equal">
      <formula>100*(1+$D$5)</formula>
    </cfRule>
  </conditionalFormatting>
  <conditionalFormatting sqref="P47">
    <cfRule type="cellIs" dxfId="94" priority="183" operator="equal">
      <formula>100*(1+$D$5)</formula>
    </cfRule>
  </conditionalFormatting>
  <conditionalFormatting sqref="P49">
    <cfRule type="cellIs" dxfId="93" priority="182" operator="equal">
      <formula>100*(1+$D$5)</formula>
    </cfRule>
  </conditionalFormatting>
  <conditionalFormatting sqref="P51">
    <cfRule type="cellIs" dxfId="92" priority="181" operator="equal">
      <formula>100*(1+$D$5)</formula>
    </cfRule>
  </conditionalFormatting>
  <conditionalFormatting sqref="P53">
    <cfRule type="cellIs" dxfId="91" priority="180" operator="equal">
      <formula>100*(1+$D$5)</formula>
    </cfRule>
  </conditionalFormatting>
  <conditionalFormatting sqref="P55">
    <cfRule type="cellIs" dxfId="90" priority="179" operator="equal">
      <formula>100*(1+$D$5)</formula>
    </cfRule>
  </conditionalFormatting>
  <conditionalFormatting sqref="P57">
    <cfRule type="cellIs" dxfId="89" priority="178" operator="equal">
      <formula>100*(1+$D$5)</formula>
    </cfRule>
  </conditionalFormatting>
  <conditionalFormatting sqref="P59">
    <cfRule type="cellIs" dxfId="88" priority="177" operator="equal">
      <formula>100*(1+$D$5)</formula>
    </cfRule>
  </conditionalFormatting>
  <conditionalFormatting sqref="O30">
    <cfRule type="cellIs" dxfId="87" priority="176" operator="equal">
      <formula>100*(1+$D$5)</formula>
    </cfRule>
  </conditionalFormatting>
  <conditionalFormatting sqref="K54">
    <cfRule type="cellIs" dxfId="86" priority="56" operator="equal">
      <formula>100*(1+$D$5)</formula>
    </cfRule>
  </conditionalFormatting>
  <conditionalFormatting sqref="J35">
    <cfRule type="cellIs" dxfId="85" priority="55" operator="equal">
      <formula>100*(1+$D$5)</formula>
    </cfRule>
  </conditionalFormatting>
  <conditionalFormatting sqref="J39">
    <cfRule type="cellIs" dxfId="84" priority="53" operator="equal">
      <formula>100*(1+$D$5)</formula>
    </cfRule>
  </conditionalFormatting>
  <conditionalFormatting sqref="J41">
    <cfRule type="cellIs" dxfId="83" priority="52" operator="equal">
      <formula>100*(1+$D$5)</formula>
    </cfRule>
  </conditionalFormatting>
  <conditionalFormatting sqref="J45">
    <cfRule type="cellIs" dxfId="82" priority="50" operator="equal">
      <formula>100*(1+$D$5)</formula>
    </cfRule>
  </conditionalFormatting>
  <conditionalFormatting sqref="J47">
    <cfRule type="cellIs" dxfId="81" priority="49" operator="equal">
      <formula>100*(1+$D$5)</formula>
    </cfRule>
  </conditionalFormatting>
  <conditionalFormatting sqref="J49">
    <cfRule type="cellIs" dxfId="80" priority="48" operator="equal">
      <formula>100*(1+$D$5)</formula>
    </cfRule>
  </conditionalFormatting>
  <conditionalFormatting sqref="J51">
    <cfRule type="cellIs" dxfId="79" priority="47" operator="equal">
      <formula>100*(1+$D$5)</formula>
    </cfRule>
  </conditionalFormatting>
  <conditionalFormatting sqref="J53">
    <cfRule type="cellIs" dxfId="78" priority="46" operator="equal">
      <formula>100*(1+$D$5)</formula>
    </cfRule>
  </conditionalFormatting>
  <conditionalFormatting sqref="I36">
    <cfRule type="cellIs" dxfId="77" priority="45" operator="equal">
      <formula>100*(1+$D$5)</formula>
    </cfRule>
  </conditionalFormatting>
  <conditionalFormatting sqref="I40">
    <cfRule type="cellIs" dxfId="76" priority="43" operator="equal">
      <formula>100*(1+$D$5)</formula>
    </cfRule>
  </conditionalFormatting>
  <conditionalFormatting sqref="L32">
    <cfRule type="cellIs" dxfId="75" priority="146" operator="equal">
      <formula>100*(1+$D$5)</formula>
    </cfRule>
  </conditionalFormatting>
  <conditionalFormatting sqref="I42">
    <cfRule type="cellIs" dxfId="74" priority="42" operator="equal">
      <formula>100*(1+$D$5)</formula>
    </cfRule>
  </conditionalFormatting>
  <conditionalFormatting sqref="I44">
    <cfRule type="cellIs" dxfId="73" priority="41" operator="equal">
      <formula>100*(1+$D$5)</formula>
    </cfRule>
  </conditionalFormatting>
  <conditionalFormatting sqref="O32">
    <cfRule type="cellIs" dxfId="72" priority="119" operator="equal">
      <formula>100*(1+$D$5)</formula>
    </cfRule>
  </conditionalFormatting>
  <conditionalFormatting sqref="O34">
    <cfRule type="cellIs" dxfId="71" priority="118" operator="equal">
      <formula>100*(1+$D$5)</formula>
    </cfRule>
  </conditionalFormatting>
  <conditionalFormatting sqref="O36">
    <cfRule type="cellIs" dxfId="70" priority="117" operator="equal">
      <formula>100*(1+$D$5)</formula>
    </cfRule>
  </conditionalFormatting>
  <conditionalFormatting sqref="O38">
    <cfRule type="cellIs" dxfId="69" priority="116" operator="equal">
      <formula>100*(1+$D$5)</formula>
    </cfRule>
  </conditionalFormatting>
  <conditionalFormatting sqref="O40">
    <cfRule type="cellIs" dxfId="68" priority="115" operator="equal">
      <formula>100*(1+$D$5)</formula>
    </cfRule>
  </conditionalFormatting>
  <conditionalFormatting sqref="O42">
    <cfRule type="cellIs" dxfId="67" priority="114" operator="equal">
      <formula>100*(1+$D$5)</formula>
    </cfRule>
  </conditionalFormatting>
  <conditionalFormatting sqref="O44">
    <cfRule type="cellIs" dxfId="66" priority="113" operator="equal">
      <formula>100*(1+$D$5)</formula>
    </cfRule>
  </conditionalFormatting>
  <conditionalFormatting sqref="O46">
    <cfRule type="cellIs" dxfId="65" priority="112" operator="equal">
      <formula>100*(1+$D$5)</formula>
    </cfRule>
  </conditionalFormatting>
  <conditionalFormatting sqref="O48">
    <cfRule type="cellIs" dxfId="64" priority="111" operator="equal">
      <formula>100*(1+$D$5)</formula>
    </cfRule>
  </conditionalFormatting>
  <conditionalFormatting sqref="O50">
    <cfRule type="cellIs" dxfId="63" priority="110" operator="equal">
      <formula>100*(1+$D$5)</formula>
    </cfRule>
  </conditionalFormatting>
  <conditionalFormatting sqref="O52">
    <cfRule type="cellIs" dxfId="62" priority="109" operator="equal">
      <formula>100*(1+$D$5)</formula>
    </cfRule>
  </conditionalFormatting>
  <conditionalFormatting sqref="O54">
    <cfRule type="cellIs" dxfId="61" priority="108" operator="equal">
      <formula>100*(1+$D$5)</formula>
    </cfRule>
  </conditionalFormatting>
  <conditionalFormatting sqref="O56">
    <cfRule type="cellIs" dxfId="60" priority="107" operator="equal">
      <formula>100*(1+$D$5)</formula>
    </cfRule>
  </conditionalFormatting>
  <conditionalFormatting sqref="O58">
    <cfRule type="cellIs" dxfId="59" priority="106" operator="equal">
      <formula>100*(1+$D$5)</formula>
    </cfRule>
  </conditionalFormatting>
  <conditionalFormatting sqref="N31">
    <cfRule type="cellIs" dxfId="58" priority="105" operator="equal">
      <formula>100*(1+$D$5)</formula>
    </cfRule>
  </conditionalFormatting>
  <conditionalFormatting sqref="N33">
    <cfRule type="cellIs" dxfId="57" priority="104" operator="equal">
      <formula>100*(1+$D$5)</formula>
    </cfRule>
  </conditionalFormatting>
  <conditionalFormatting sqref="N35">
    <cfRule type="cellIs" dxfId="56" priority="103" operator="equal">
      <formula>100*(1+$D$5)</formula>
    </cfRule>
  </conditionalFormatting>
  <conditionalFormatting sqref="N37">
    <cfRule type="cellIs" dxfId="55" priority="102" operator="equal">
      <formula>100*(1+$D$5)</formula>
    </cfRule>
  </conditionalFormatting>
  <conditionalFormatting sqref="N39">
    <cfRule type="cellIs" dxfId="54" priority="101" operator="equal">
      <formula>100*(1+$D$5)</formula>
    </cfRule>
  </conditionalFormatting>
  <conditionalFormatting sqref="N41">
    <cfRule type="cellIs" dxfId="53" priority="100" operator="equal">
      <formula>100*(1+$D$5)</formula>
    </cfRule>
  </conditionalFormatting>
  <conditionalFormatting sqref="N43">
    <cfRule type="cellIs" dxfId="52" priority="99" operator="equal">
      <formula>100*(1+$D$5)</formula>
    </cfRule>
  </conditionalFormatting>
  <conditionalFormatting sqref="N45">
    <cfRule type="cellIs" dxfId="51" priority="98" operator="equal">
      <formula>100*(1+$D$5)</formula>
    </cfRule>
  </conditionalFormatting>
  <conditionalFormatting sqref="N47">
    <cfRule type="cellIs" dxfId="50" priority="97" operator="equal">
      <formula>100*(1+$D$5)</formula>
    </cfRule>
  </conditionalFormatting>
  <conditionalFormatting sqref="N49">
    <cfRule type="cellIs" dxfId="49" priority="96" operator="equal">
      <formula>100*(1+$D$5)</formula>
    </cfRule>
  </conditionalFormatting>
  <conditionalFormatting sqref="N51">
    <cfRule type="cellIs" dxfId="48" priority="95" operator="equal">
      <formula>100*(1+$D$5)</formula>
    </cfRule>
  </conditionalFormatting>
  <conditionalFormatting sqref="N53">
    <cfRule type="cellIs" dxfId="47" priority="94" operator="equal">
      <formula>100*(1+$D$5)</formula>
    </cfRule>
  </conditionalFormatting>
  <conditionalFormatting sqref="N55">
    <cfRule type="cellIs" dxfId="46" priority="93" operator="equal">
      <formula>100*(1+$D$5)</formula>
    </cfRule>
  </conditionalFormatting>
  <conditionalFormatting sqref="N57">
    <cfRule type="cellIs" dxfId="45" priority="92" operator="equal">
      <formula>100*(1+$D$5)</formula>
    </cfRule>
  </conditionalFormatting>
  <conditionalFormatting sqref="M32">
    <cfRule type="cellIs" dxfId="44" priority="91" operator="equal">
      <formula>100*(1+$D$5)</formula>
    </cfRule>
  </conditionalFormatting>
  <conditionalFormatting sqref="M34">
    <cfRule type="cellIs" dxfId="43" priority="90" operator="equal">
      <formula>100*(1+$D$5)</formula>
    </cfRule>
  </conditionalFormatting>
  <conditionalFormatting sqref="M36">
    <cfRule type="cellIs" dxfId="42" priority="89" operator="equal">
      <formula>100*(1+$D$5)</formula>
    </cfRule>
  </conditionalFormatting>
  <conditionalFormatting sqref="M38">
    <cfRule type="cellIs" dxfId="41" priority="88" operator="equal">
      <formula>100*(1+$D$5)</formula>
    </cfRule>
  </conditionalFormatting>
  <conditionalFormatting sqref="M40">
    <cfRule type="cellIs" dxfId="40" priority="87" operator="equal">
      <formula>100*(1+$D$5)</formula>
    </cfRule>
  </conditionalFormatting>
  <conditionalFormatting sqref="M42">
    <cfRule type="cellIs" dxfId="39" priority="86" operator="equal">
      <formula>100*(1+$D$5)</formula>
    </cfRule>
  </conditionalFormatting>
  <conditionalFormatting sqref="M44">
    <cfRule type="cellIs" dxfId="38" priority="85" operator="equal">
      <formula>100*(1+$D$5)</formula>
    </cfRule>
  </conditionalFormatting>
  <conditionalFormatting sqref="M46">
    <cfRule type="cellIs" dxfId="37" priority="84" operator="equal">
      <formula>100*(1+$D$5)</formula>
    </cfRule>
  </conditionalFormatting>
  <conditionalFormatting sqref="M48">
    <cfRule type="cellIs" dxfId="36" priority="83" operator="equal">
      <formula>100*(1+$D$5)</formula>
    </cfRule>
  </conditionalFormatting>
  <conditionalFormatting sqref="M50">
    <cfRule type="cellIs" dxfId="35" priority="82" operator="equal">
      <formula>100*(1+$D$5)</formula>
    </cfRule>
  </conditionalFormatting>
  <conditionalFormatting sqref="M52">
    <cfRule type="cellIs" dxfId="34" priority="81" operator="equal">
      <formula>100*(1+$D$5)</formula>
    </cfRule>
  </conditionalFormatting>
  <conditionalFormatting sqref="M54">
    <cfRule type="cellIs" dxfId="33" priority="80" operator="equal">
      <formula>100*(1+$D$5)</formula>
    </cfRule>
  </conditionalFormatting>
  <conditionalFormatting sqref="M56">
    <cfRule type="cellIs" dxfId="32" priority="79" operator="equal">
      <formula>100*(1+$D$5)</formula>
    </cfRule>
  </conditionalFormatting>
  <conditionalFormatting sqref="L33">
    <cfRule type="cellIs" dxfId="31" priority="78" operator="equal">
      <formula>100*(1+$D$5)</formula>
    </cfRule>
  </conditionalFormatting>
  <conditionalFormatting sqref="L35">
    <cfRule type="cellIs" dxfId="30" priority="77" operator="equal">
      <formula>100*(1+$D$5)</formula>
    </cfRule>
  </conditionalFormatting>
  <conditionalFormatting sqref="L37">
    <cfRule type="cellIs" dxfId="29" priority="76" operator="equal">
      <formula>100*(1+$D$5)</formula>
    </cfRule>
  </conditionalFormatting>
  <conditionalFormatting sqref="L39">
    <cfRule type="cellIs" dxfId="28" priority="75" operator="equal">
      <formula>100*(1+$D$5)</formula>
    </cfRule>
  </conditionalFormatting>
  <conditionalFormatting sqref="L41">
    <cfRule type="cellIs" dxfId="27" priority="74" operator="equal">
      <formula>100*(1+$D$5)</formula>
    </cfRule>
  </conditionalFormatting>
  <conditionalFormatting sqref="L43">
    <cfRule type="cellIs" dxfId="26" priority="73" operator="equal">
      <formula>100*(1+$D$5)</formula>
    </cfRule>
  </conditionalFormatting>
  <conditionalFormatting sqref="L47">
    <cfRule type="cellIs" dxfId="25" priority="71" operator="equal">
      <formula>100*(1+$D$5)</formula>
    </cfRule>
  </conditionalFormatting>
  <conditionalFormatting sqref="L49">
    <cfRule type="cellIs" dxfId="24" priority="70" operator="equal">
      <formula>100*(1+$D$5)</formula>
    </cfRule>
  </conditionalFormatting>
  <conditionalFormatting sqref="L51">
    <cfRule type="cellIs" dxfId="23" priority="69" operator="equal">
      <formula>100*(1+$D$5)</formula>
    </cfRule>
  </conditionalFormatting>
  <conditionalFormatting sqref="L53">
    <cfRule type="cellIs" dxfId="22" priority="68" operator="equal">
      <formula>100*(1+$D$5)</formula>
    </cfRule>
  </conditionalFormatting>
  <conditionalFormatting sqref="L55">
    <cfRule type="cellIs" dxfId="21" priority="67" operator="equal">
      <formula>100*(1+$D$5)</formula>
    </cfRule>
  </conditionalFormatting>
  <conditionalFormatting sqref="K34">
    <cfRule type="cellIs" dxfId="20" priority="66" operator="equal">
      <formula>100*(1+$D$5)</formula>
    </cfRule>
  </conditionalFormatting>
  <conditionalFormatting sqref="K36">
    <cfRule type="cellIs" dxfId="19" priority="65" operator="equal">
      <formula>100*(1+$D$5)</formula>
    </cfRule>
  </conditionalFormatting>
  <conditionalFormatting sqref="K38">
    <cfRule type="cellIs" dxfId="18" priority="64" operator="equal">
      <formula>100*(1+$D$5)</formula>
    </cfRule>
  </conditionalFormatting>
  <conditionalFormatting sqref="K40">
    <cfRule type="cellIs" dxfId="17" priority="63" operator="equal">
      <formula>100*(1+$D$5)</formula>
    </cfRule>
  </conditionalFormatting>
  <conditionalFormatting sqref="K42">
    <cfRule type="cellIs" dxfId="16" priority="62" operator="equal">
      <formula>100*(1+$D$5)</formula>
    </cfRule>
  </conditionalFormatting>
  <conditionalFormatting sqref="K44">
    <cfRule type="cellIs" dxfId="15" priority="61" operator="equal">
      <formula>100*(1+$D$5)</formula>
    </cfRule>
  </conditionalFormatting>
  <conditionalFormatting sqref="K46">
    <cfRule type="cellIs" dxfId="14" priority="60" operator="equal">
      <formula>100*(1+$D$5)</formula>
    </cfRule>
  </conditionalFormatting>
  <conditionalFormatting sqref="K48">
    <cfRule type="cellIs" dxfId="13" priority="59" operator="equal">
      <formula>100*(1+$D$5)</formula>
    </cfRule>
  </conditionalFormatting>
  <conditionalFormatting sqref="K50">
    <cfRule type="cellIs" dxfId="12" priority="58" operator="equal">
      <formula>100*(1+$D$5)</formula>
    </cfRule>
  </conditionalFormatting>
  <conditionalFormatting sqref="I46">
    <cfRule type="cellIs" dxfId="11" priority="40" operator="equal">
      <formula>100*(1+$D$5)</formula>
    </cfRule>
  </conditionalFormatting>
  <conditionalFormatting sqref="I48">
    <cfRule type="cellIs" dxfId="10" priority="39" operator="equal">
      <formula>100*(1+$D$5)</formula>
    </cfRule>
  </conditionalFormatting>
  <conditionalFormatting sqref="I50">
    <cfRule type="cellIs" dxfId="9" priority="38" operator="equal">
      <formula>100*(1+$D$5)</formula>
    </cfRule>
  </conditionalFormatting>
  <conditionalFormatting sqref="H37">
    <cfRule type="cellIs" dxfId="8" priority="36" operator="equal">
      <formula>100*(1+$D$5)</formula>
    </cfRule>
  </conditionalFormatting>
  <conditionalFormatting sqref="H41">
    <cfRule type="cellIs" dxfId="7" priority="34" operator="equal">
      <formula>100*(1+$D$5)</formula>
    </cfRule>
  </conditionalFormatting>
  <conditionalFormatting sqref="H45">
    <cfRule type="cellIs" dxfId="6" priority="32" operator="equal">
      <formula>100*(1+$D$5)</formula>
    </cfRule>
  </conditionalFormatting>
  <conditionalFormatting sqref="G38">
    <cfRule type="cellIs" dxfId="5" priority="28" operator="equal">
      <formula>100*(1+$D$5)</formula>
    </cfRule>
  </conditionalFormatting>
  <conditionalFormatting sqref="G42">
    <cfRule type="cellIs" dxfId="4" priority="26" operator="equal">
      <formula>100*(1+$D$5)</formula>
    </cfRule>
  </conditionalFormatting>
  <conditionalFormatting sqref="G46">
    <cfRule type="cellIs" dxfId="3" priority="24" operator="equal">
      <formula>100*(1+$D$5)</formula>
    </cfRule>
  </conditionalFormatting>
  <conditionalFormatting sqref="G50">
    <cfRule type="cellIs" dxfId="2" priority="22" operator="equal">
      <formula>100*(1+$D$5)</formula>
    </cfRule>
  </conditionalFormatting>
  <conditionalFormatting sqref="F41">
    <cfRule type="cellIs" dxfId="1" priority="20" operator="equal">
      <formula>100*(1+$D$5)</formula>
    </cfRule>
  </conditionalFormatting>
  <conditionalFormatting sqref="F45">
    <cfRule type="cellIs" dxfId="0" priority="18" operator="equal">
      <formula>100*(1+$D$5)</formula>
    </cfRule>
  </conditionalFormatting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bdt</vt:lpstr>
      <vt:lpstr>callable bond</vt:lpstr>
      <vt:lpstr>noncallable bond</vt:lpstr>
      <vt:lpstr>Negative Convexity</vt:lpstr>
      <vt:lpstr>swap</vt:lpstr>
      <vt:lpstr>Swaption</vt:lpstr>
      <vt:lpstr>OASrts</vt:lpstr>
      <vt:lpstr>OASComp</vt:lpstr>
    </vt:vector>
  </TitlesOfParts>
  <Company>University of Arizona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Lamoureux</dc:creator>
  <cp:lastModifiedBy>Christopher Lamoureux</cp:lastModifiedBy>
  <dcterms:created xsi:type="dcterms:W3CDTF">2014-02-26T21:48:52Z</dcterms:created>
  <dcterms:modified xsi:type="dcterms:W3CDTF">2014-04-05T01:21:19Z</dcterms:modified>
</cp:coreProperties>
</file>