
<file path=[Content_Types].xml><?xml version="1.0" encoding="utf-8"?>
<Types xmlns="http://schemas.openxmlformats.org/package/2006/content-types">
  <Default Extension="bin" ContentType="application/vnd.openxmlformats-officedocument.spreadsheetml.printerSettings"/>
  <Default Extension="wmf" ContentType="image/x-wmf"/>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mbeddings/oleObject1.bin" ContentType="application/vnd.openxmlformats-officedocument.oleObject"/>
  <Override PartName="/xl/embeddings/oleObject2.bin" ContentType="application/vnd.openxmlformats-officedocument.oleObject"/>
  <Override PartName="/xl/embeddings/oleObject3.bin" ContentType="application/vnd.openxmlformats-officedocument.oleObject"/>
  <Override PartName="/xl/embeddings/oleObject4.bin" ContentType="application/vnd.openxmlformats-officedocument.oleObject"/>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ate1904="1" showInkAnnotation="0" autoCompressPictures="0"/>
  <bookViews>
    <workbookView xWindow="-15" yWindow="105" windowWidth="24795" windowHeight="13620" tabRatio="500" activeTab="1"/>
  </bookViews>
  <sheets>
    <sheet name="Vasicek" sheetId="2" r:id="rId1"/>
    <sheet name="2F CIR" sheetId="1" r:id="rId2"/>
    <sheet name="Bloomberg Prices" sheetId="3" r:id="rId3"/>
    <sheet name="Sheet4" sheetId="4" r:id="rId4"/>
  </sheets>
  <definedNames>
    <definedName name="solver_adj" localSheetId="1" hidden="1">'2F CIR'!$N$56</definedName>
    <definedName name="solver_adj" localSheetId="0" hidden="1">Vasicek!$H$49</definedName>
    <definedName name="solver_cvg" localSheetId="1" hidden="1">0.0000000000000001</definedName>
    <definedName name="solver_cvg" localSheetId="0" hidden="1">0.0001</definedName>
    <definedName name="solver_drv" localSheetId="1" hidden="1">2</definedName>
    <definedName name="solver_drv" localSheetId="0" hidden="1">1</definedName>
    <definedName name="solver_eng" localSheetId="1" hidden="1">1</definedName>
    <definedName name="solver_eng" localSheetId="0" hidden="1">1</definedName>
    <definedName name="solver_est" localSheetId="1" hidden="1">1</definedName>
    <definedName name="solver_est" localSheetId="0" hidden="1">1</definedName>
    <definedName name="solver_itr" localSheetId="1" hidden="1">2147483647</definedName>
    <definedName name="solver_itr" localSheetId="0" hidden="1">2147483647</definedName>
    <definedName name="solver_lhs1" localSheetId="1" hidden="1">'2F CIR'!$H$14</definedName>
    <definedName name="solver_lhs2" localSheetId="1" hidden="1">'2F CIR'!$H$14</definedName>
    <definedName name="solver_mip" localSheetId="1" hidden="1">2147483647</definedName>
    <definedName name="solver_mip" localSheetId="0" hidden="1">2147483647</definedName>
    <definedName name="solver_mni" localSheetId="1" hidden="1">30</definedName>
    <definedName name="solver_mni" localSheetId="0" hidden="1">30</definedName>
    <definedName name="solver_mrt" localSheetId="1" hidden="1">0.075</definedName>
    <definedName name="solver_mrt" localSheetId="0" hidden="1">0.075</definedName>
    <definedName name="solver_msl" localSheetId="1" hidden="1">2</definedName>
    <definedName name="solver_msl" localSheetId="0" hidden="1">2</definedName>
    <definedName name="solver_neg" localSheetId="1" hidden="1">2</definedName>
    <definedName name="solver_neg" localSheetId="0" hidden="1">1</definedName>
    <definedName name="solver_nod" localSheetId="1" hidden="1">2147483647</definedName>
    <definedName name="solver_nod" localSheetId="0" hidden="1">2147483647</definedName>
    <definedName name="solver_num" localSheetId="1" hidden="1">0</definedName>
    <definedName name="solver_num" localSheetId="0" hidden="1">0</definedName>
    <definedName name="solver_nwt" localSheetId="1" hidden="1">1</definedName>
    <definedName name="solver_nwt" localSheetId="0" hidden="1">1</definedName>
    <definedName name="solver_opt" localSheetId="1" hidden="1">'2F CIR'!$O$97</definedName>
    <definedName name="solver_opt" localSheetId="0" hidden="1">Vasicek!$F$56</definedName>
    <definedName name="solver_pre" localSheetId="1" hidden="1">0.0000000000000001</definedName>
    <definedName name="solver_pre" localSheetId="0" hidden="1">0.000001</definedName>
    <definedName name="solver_rbv" localSheetId="1" hidden="1">1</definedName>
    <definedName name="solver_rbv" localSheetId="0" hidden="1">1</definedName>
    <definedName name="solver_rel1" localSheetId="1" hidden="1">3</definedName>
    <definedName name="solver_rel2" localSheetId="1" hidden="1">3</definedName>
    <definedName name="solver_rhs1" localSheetId="1" hidden="1">0</definedName>
    <definedName name="solver_rhs2" localSheetId="1" hidden="1">0</definedName>
    <definedName name="solver_rlx" localSheetId="1" hidden="1">2</definedName>
    <definedName name="solver_rlx" localSheetId="0" hidden="1">2</definedName>
    <definedName name="solver_rsd" localSheetId="1" hidden="1">0</definedName>
    <definedName name="solver_rsd" localSheetId="0" hidden="1">0</definedName>
    <definedName name="solver_scl" localSheetId="1" hidden="1">2</definedName>
    <definedName name="solver_scl" localSheetId="0" hidden="1">1</definedName>
    <definedName name="solver_sho" localSheetId="1" hidden="1">2</definedName>
    <definedName name="solver_sho" localSheetId="0" hidden="1">2</definedName>
    <definedName name="solver_ssz" localSheetId="1" hidden="1">100</definedName>
    <definedName name="solver_ssz" localSheetId="0" hidden="1">100</definedName>
    <definedName name="solver_tim" localSheetId="1" hidden="1">2147483647</definedName>
    <definedName name="solver_tim" localSheetId="0" hidden="1">2147483647</definedName>
    <definedName name="solver_tol" localSheetId="1" hidden="1">0.01</definedName>
    <definedName name="solver_tol" localSheetId="0" hidden="1">0.01</definedName>
    <definedName name="solver_typ" localSheetId="1" hidden="1">3</definedName>
    <definedName name="solver_typ" localSheetId="0" hidden="1">2</definedName>
    <definedName name="solver_val" localSheetId="1" hidden="1">0</definedName>
    <definedName name="solver_val" localSheetId="0" hidden="1">0</definedName>
    <definedName name="solver_ver" localSheetId="1" hidden="1">3</definedName>
    <definedName name="solver_ver" localSheetId="0" hidden="1">3</definedName>
  </definedNames>
  <calcPr calcId="145621"/>
  <extLst>
    <ext xmlns:mx="http://schemas.microsoft.com/office/mac/excel/2008/main" uri="http://schemas.microsoft.com/office/mac/excel/2008/main">
      <mx:ArchID Flags="2"/>
    </ext>
  </extLst>
</workbook>
</file>

<file path=xl/calcChain.xml><?xml version="1.0" encoding="utf-8"?>
<calcChain xmlns="http://schemas.openxmlformats.org/spreadsheetml/2006/main">
  <c r="C161" i="1" l="1"/>
  <c r="C159"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58" i="1"/>
  <c r="J20" i="1"/>
  <c r="J21" i="1"/>
  <c r="J19" i="1"/>
  <c r="M35" i="1"/>
  <c r="M36" i="1"/>
  <c r="M37" i="1"/>
  <c r="M38" i="1"/>
  <c r="M39" i="1"/>
  <c r="M40" i="1"/>
  <c r="M41" i="1"/>
  <c r="M42" i="1"/>
  <c r="M43" i="1"/>
  <c r="M44" i="1"/>
  <c r="M45" i="1"/>
  <c r="M46" i="1"/>
  <c r="M47" i="1"/>
  <c r="M48" i="1"/>
  <c r="M34" i="1"/>
  <c r="L167" i="1"/>
  <c r="L166" i="1"/>
  <c r="J167" i="1"/>
  <c r="J166" i="1"/>
  <c r="G167" i="1"/>
  <c r="G166" i="1"/>
  <c r="D167" i="1"/>
  <c r="D166" i="1"/>
  <c r="M97" i="1" l="1"/>
  <c r="O97" i="1" s="1"/>
  <c r="M50" i="1"/>
  <c r="M51" i="1" s="1"/>
  <c r="J23" i="1"/>
  <c r="L23" i="1" s="1"/>
  <c r="B167" i="1"/>
  <c r="B166" i="1"/>
  <c r="I15" i="1" l="1"/>
  <c r="E117" i="2"/>
  <c r="K173" i="1"/>
  <c r="J168" i="1"/>
  <c r="G168" i="1"/>
  <c r="D168" i="1"/>
  <c r="B168" i="1"/>
  <c r="I98" i="1"/>
  <c r="I51" i="1"/>
  <c r="E24" i="1"/>
  <c r="H153" i="1" s="1"/>
  <c r="H151" i="1"/>
  <c r="H155" i="1"/>
  <c r="I56" i="1"/>
  <c r="H88" i="1" s="1"/>
  <c r="K14" i="1"/>
  <c r="D10" i="1"/>
  <c r="F73" i="1" s="1"/>
  <c r="C10" i="1"/>
  <c r="B75" i="1" s="1"/>
  <c r="C122" i="2"/>
  <c r="C82" i="2"/>
  <c r="B82" i="2" s="1"/>
  <c r="H82" i="2" s="1"/>
  <c r="C81" i="2"/>
  <c r="B81" i="2" s="1"/>
  <c r="H81" i="2" s="1"/>
  <c r="C80" i="2"/>
  <c r="B80" i="2"/>
  <c r="H80" i="2" s="1"/>
  <c r="C79" i="2"/>
  <c r="B79" i="2"/>
  <c r="H79" i="2" s="1"/>
  <c r="C78" i="2"/>
  <c r="B78" i="2" s="1"/>
  <c r="H78" i="2" s="1"/>
  <c r="C77" i="2"/>
  <c r="B77" i="2" s="1"/>
  <c r="H77" i="2" s="1"/>
  <c r="C76" i="2"/>
  <c r="B76" i="2"/>
  <c r="H76" i="2" s="1"/>
  <c r="C75" i="2"/>
  <c r="B75" i="2"/>
  <c r="H75" i="2" s="1"/>
  <c r="C74" i="2"/>
  <c r="B74" i="2" s="1"/>
  <c r="H74" i="2" s="1"/>
  <c r="C73" i="2"/>
  <c r="B73" i="2" s="1"/>
  <c r="H73" i="2" s="1"/>
  <c r="C72" i="2"/>
  <c r="B72" i="2"/>
  <c r="H72" i="2" s="1"/>
  <c r="C71" i="2"/>
  <c r="B71" i="2"/>
  <c r="H71" i="2" s="1"/>
  <c r="C70" i="2"/>
  <c r="B70" i="2" s="1"/>
  <c r="H70" i="2" s="1"/>
  <c r="C69" i="2"/>
  <c r="B69" i="2" s="1"/>
  <c r="H69" i="2" s="1"/>
  <c r="C68" i="2"/>
  <c r="B68" i="2"/>
  <c r="H68" i="2" s="1"/>
  <c r="F66" i="2"/>
  <c r="E79" i="2" s="1"/>
  <c r="E53" i="2"/>
  <c r="C53" i="2"/>
  <c r="B53" i="2" s="1"/>
  <c r="E52" i="2"/>
  <c r="F52" i="2" s="1"/>
  <c r="C52" i="2"/>
  <c r="B52" i="2" s="1"/>
  <c r="E51" i="2"/>
  <c r="C51" i="2"/>
  <c r="B51" i="2" s="1"/>
  <c r="F49" i="2"/>
  <c r="B170" i="1" l="1"/>
  <c r="D170" i="1"/>
  <c r="K168" i="1"/>
  <c r="L168" i="1" s="1"/>
  <c r="F34" i="1"/>
  <c r="B34" i="1"/>
  <c r="C34" i="1"/>
  <c r="E34" i="1"/>
  <c r="J170" i="1"/>
  <c r="G170" i="1"/>
  <c r="H157" i="1"/>
  <c r="H89" i="1"/>
  <c r="H79" i="1"/>
  <c r="H74" i="1"/>
  <c r="H94" i="1"/>
  <c r="H69" i="1"/>
  <c r="H85" i="1"/>
  <c r="H63" i="1"/>
  <c r="C21" i="1"/>
  <c r="B58" i="1"/>
  <c r="C65" i="1"/>
  <c r="C70" i="1"/>
  <c r="H86" i="1"/>
  <c r="H81" i="1"/>
  <c r="H75" i="1"/>
  <c r="H70" i="1"/>
  <c r="H65" i="1"/>
  <c r="H59" i="1"/>
  <c r="H90" i="1"/>
  <c r="B94" i="1"/>
  <c r="B90" i="1"/>
  <c r="B86" i="1"/>
  <c r="B82" i="1"/>
  <c r="B78" i="1"/>
  <c r="B74" i="1"/>
  <c r="B21" i="1"/>
  <c r="B60" i="1"/>
  <c r="C66" i="1"/>
  <c r="B93" i="1"/>
  <c r="B85" i="1"/>
  <c r="B77" i="1"/>
  <c r="B20" i="1"/>
  <c r="B61" i="1"/>
  <c r="C67" i="1"/>
  <c r="H83" i="1"/>
  <c r="H78" i="1"/>
  <c r="H73" i="1"/>
  <c r="H67" i="1"/>
  <c r="H62" i="1"/>
  <c r="H93" i="1"/>
  <c r="H87" i="1"/>
  <c r="B92" i="1"/>
  <c r="B88" i="1"/>
  <c r="B84" i="1"/>
  <c r="B80" i="1"/>
  <c r="B76" i="1"/>
  <c r="H95" i="1"/>
  <c r="C71" i="1"/>
  <c r="B89" i="1"/>
  <c r="B81" i="1"/>
  <c r="B73" i="1"/>
  <c r="B62" i="1"/>
  <c r="C69" i="1"/>
  <c r="H58" i="1"/>
  <c r="H82" i="1"/>
  <c r="H77" i="1"/>
  <c r="H71" i="1"/>
  <c r="H66" i="1"/>
  <c r="H61" i="1"/>
  <c r="H91" i="1"/>
  <c r="B95" i="1"/>
  <c r="B91" i="1"/>
  <c r="B87" i="1"/>
  <c r="B83" i="1"/>
  <c r="B79" i="1"/>
  <c r="E58" i="1"/>
  <c r="F59" i="1"/>
  <c r="F68" i="1"/>
  <c r="E71" i="1"/>
  <c r="E61" i="1"/>
  <c r="F62" i="1"/>
  <c r="E66" i="1"/>
  <c r="F67" i="1"/>
  <c r="E70" i="1"/>
  <c r="F71" i="1"/>
  <c r="C35" i="1"/>
  <c r="C73" i="1"/>
  <c r="C74" i="1"/>
  <c r="C75" i="1"/>
  <c r="C76" i="1"/>
  <c r="C77" i="1"/>
  <c r="C78" i="1"/>
  <c r="C79" i="1"/>
  <c r="C80" i="1"/>
  <c r="C81" i="1"/>
  <c r="C82" i="1"/>
  <c r="C83" i="1"/>
  <c r="C84" i="1"/>
  <c r="C85" i="1"/>
  <c r="C86" i="1"/>
  <c r="C87" i="1"/>
  <c r="C88" i="1"/>
  <c r="C89" i="1"/>
  <c r="C90" i="1"/>
  <c r="C91" i="1"/>
  <c r="C92" i="1"/>
  <c r="C93" i="1"/>
  <c r="C94" i="1"/>
  <c r="C95" i="1"/>
  <c r="B72" i="1"/>
  <c r="B71" i="1"/>
  <c r="B70" i="1"/>
  <c r="B69" i="1"/>
  <c r="B68" i="1"/>
  <c r="B67" i="1"/>
  <c r="B66" i="1"/>
  <c r="B65" i="1"/>
  <c r="B64" i="1"/>
  <c r="C63" i="1"/>
  <c r="C62" i="1"/>
  <c r="C61" i="1"/>
  <c r="C60" i="1"/>
  <c r="C59" i="1"/>
  <c r="C58" i="1"/>
  <c r="C20" i="1"/>
  <c r="C19" i="1"/>
  <c r="B59" i="1"/>
  <c r="E60" i="1"/>
  <c r="F61" i="1"/>
  <c r="B63" i="1"/>
  <c r="C64" i="1"/>
  <c r="E65" i="1"/>
  <c r="F66" i="1"/>
  <c r="C68" i="1"/>
  <c r="E69" i="1"/>
  <c r="F70" i="1"/>
  <c r="C72" i="1"/>
  <c r="F95" i="1"/>
  <c r="F93" i="1"/>
  <c r="F91" i="1"/>
  <c r="F89" i="1"/>
  <c r="F87" i="1"/>
  <c r="F85" i="1"/>
  <c r="F83" i="1"/>
  <c r="F81" i="1"/>
  <c r="F79" i="1"/>
  <c r="F77" i="1"/>
  <c r="F75" i="1"/>
  <c r="E73" i="1"/>
  <c r="E74" i="1"/>
  <c r="E75" i="1"/>
  <c r="E76" i="1"/>
  <c r="E77" i="1"/>
  <c r="E78" i="1"/>
  <c r="E79" i="1"/>
  <c r="E80" i="1"/>
  <c r="E81" i="1"/>
  <c r="E82" i="1"/>
  <c r="E83" i="1"/>
  <c r="E84" i="1"/>
  <c r="E85" i="1"/>
  <c r="E86" i="1"/>
  <c r="E87" i="1"/>
  <c r="E88" i="1"/>
  <c r="E89" i="1"/>
  <c r="E90" i="1"/>
  <c r="E91" i="1"/>
  <c r="E92" i="1"/>
  <c r="E93" i="1"/>
  <c r="E94" i="1"/>
  <c r="E95" i="1"/>
  <c r="F60" i="1"/>
  <c r="F69" i="1"/>
  <c r="F94" i="1"/>
  <c r="F92" i="1"/>
  <c r="F90" i="1"/>
  <c r="F88" i="1"/>
  <c r="F86" i="1"/>
  <c r="F84" i="1"/>
  <c r="F82" i="1"/>
  <c r="F80" i="1"/>
  <c r="F78" i="1"/>
  <c r="F76" i="1"/>
  <c r="F74" i="1"/>
  <c r="E59" i="1"/>
  <c r="E63" i="1"/>
  <c r="E64" i="1"/>
  <c r="F65" i="1"/>
  <c r="E68" i="1"/>
  <c r="E72" i="1"/>
  <c r="E62" i="1"/>
  <c r="F63" i="1"/>
  <c r="F64" i="1"/>
  <c r="E67" i="1"/>
  <c r="F72" i="1"/>
  <c r="F58" i="1"/>
  <c r="H84" i="1"/>
  <c r="H80" i="1"/>
  <c r="H76" i="1"/>
  <c r="H72" i="1"/>
  <c r="H68" i="1"/>
  <c r="H64" i="1"/>
  <c r="H60" i="1"/>
  <c r="H92" i="1"/>
  <c r="E21" i="1"/>
  <c r="E20" i="1"/>
  <c r="E19" i="1"/>
  <c r="F19" i="1"/>
  <c r="B19" i="1"/>
  <c r="F21" i="1"/>
  <c r="F20" i="1"/>
  <c r="B48" i="1"/>
  <c r="B40" i="1"/>
  <c r="B46" i="1"/>
  <c r="B38" i="1"/>
  <c r="B44" i="1"/>
  <c r="B36" i="1"/>
  <c r="B42" i="1"/>
  <c r="F48" i="1"/>
  <c r="B47" i="1"/>
  <c r="B45" i="1"/>
  <c r="B43" i="1"/>
  <c r="B41" i="1"/>
  <c r="B39" i="1"/>
  <c r="B37" i="1"/>
  <c r="B35" i="1"/>
  <c r="C48" i="1"/>
  <c r="C46" i="1"/>
  <c r="C44" i="1"/>
  <c r="C42" i="1"/>
  <c r="C40" i="1"/>
  <c r="C38" i="1"/>
  <c r="C36" i="1"/>
  <c r="C47" i="1"/>
  <c r="C45" i="1"/>
  <c r="C43" i="1"/>
  <c r="C41" i="1"/>
  <c r="C39" i="1"/>
  <c r="C37" i="1"/>
  <c r="E35" i="1"/>
  <c r="E47" i="1"/>
  <c r="E46" i="1"/>
  <c r="E45" i="1"/>
  <c r="E44" i="1"/>
  <c r="E43" i="1"/>
  <c r="E42" i="1"/>
  <c r="E41" i="1"/>
  <c r="E40" i="1"/>
  <c r="E39" i="1"/>
  <c r="E38" i="1"/>
  <c r="E37" i="1"/>
  <c r="E36" i="1"/>
  <c r="E48" i="1"/>
  <c r="F47" i="1"/>
  <c r="F46" i="1"/>
  <c r="F45" i="1"/>
  <c r="F44" i="1"/>
  <c r="F43" i="1"/>
  <c r="F42" i="1"/>
  <c r="F41" i="1"/>
  <c r="F40" i="1"/>
  <c r="F39" i="1"/>
  <c r="F38" i="1"/>
  <c r="F37" i="1"/>
  <c r="F36" i="1"/>
  <c r="F35" i="1"/>
  <c r="F51" i="2"/>
  <c r="F55" i="2" s="1"/>
  <c r="F53" i="2"/>
  <c r="D104" i="2"/>
  <c r="F79" i="2"/>
  <c r="E68" i="2"/>
  <c r="E72" i="2"/>
  <c r="E76" i="2"/>
  <c r="E80" i="2"/>
  <c r="A94" i="2"/>
  <c r="E73" i="2"/>
  <c r="E69" i="2"/>
  <c r="E70" i="2"/>
  <c r="E77" i="2"/>
  <c r="E81" i="2"/>
  <c r="E74" i="2"/>
  <c r="E78" i="2"/>
  <c r="E82" i="2"/>
  <c r="A93" i="2"/>
  <c r="A96" i="2" s="1"/>
  <c r="A95" i="2"/>
  <c r="E71" i="2"/>
  <c r="E75" i="2"/>
  <c r="I67" i="1" l="1"/>
  <c r="K87" i="1"/>
  <c r="P138" i="1" s="1"/>
  <c r="K95" i="1"/>
  <c r="M146" i="1" s="1"/>
  <c r="K75" i="1"/>
  <c r="M126" i="1" s="1"/>
  <c r="I58" i="1"/>
  <c r="I93" i="1"/>
  <c r="K89" i="1"/>
  <c r="P140" i="1" s="1"/>
  <c r="K85" i="1"/>
  <c r="M136" i="1" s="1"/>
  <c r="K81" i="1"/>
  <c r="P132" i="1" s="1"/>
  <c r="I86" i="1"/>
  <c r="I92" i="1"/>
  <c r="I91" i="1"/>
  <c r="I70" i="1"/>
  <c r="I89" i="1"/>
  <c r="I83" i="1"/>
  <c r="I74" i="1"/>
  <c r="I82" i="1"/>
  <c r="I71" i="1"/>
  <c r="I66" i="1"/>
  <c r="I79" i="1"/>
  <c r="I80" i="1"/>
  <c r="K61" i="1"/>
  <c r="P112" i="1" s="1"/>
  <c r="K83" i="1"/>
  <c r="P134" i="1" s="1"/>
  <c r="K79" i="1"/>
  <c r="P130" i="1" s="1"/>
  <c r="I61" i="1"/>
  <c r="I75" i="1"/>
  <c r="I76" i="1"/>
  <c r="I72" i="1"/>
  <c r="K59" i="1"/>
  <c r="M110" i="1" s="1"/>
  <c r="K63" i="1"/>
  <c r="P114" i="1" s="1"/>
  <c r="K60" i="1"/>
  <c r="P111" i="1" s="1"/>
  <c r="K92" i="1"/>
  <c r="P143" i="1" s="1"/>
  <c r="K84" i="1"/>
  <c r="M135" i="1" s="1"/>
  <c r="K80" i="1"/>
  <c r="P131" i="1" s="1"/>
  <c r="K76" i="1"/>
  <c r="P127" i="1" s="1"/>
  <c r="K91" i="1"/>
  <c r="P142" i="1" s="1"/>
  <c r="I65" i="1"/>
  <c r="K58" i="1"/>
  <c r="P109" i="1" s="1"/>
  <c r="K94" i="1"/>
  <c r="P145" i="1" s="1"/>
  <c r="K90" i="1"/>
  <c r="P141" i="1" s="1"/>
  <c r="K86" i="1"/>
  <c r="P137" i="1" s="1"/>
  <c r="K82" i="1"/>
  <c r="M133" i="1" s="1"/>
  <c r="I78" i="1"/>
  <c r="K74" i="1"/>
  <c r="P125" i="1" s="1"/>
  <c r="I87" i="1"/>
  <c r="K62" i="1"/>
  <c r="P113" i="1" s="1"/>
  <c r="I69" i="1"/>
  <c r="I77" i="1"/>
  <c r="K73" i="1"/>
  <c r="P124" i="1" s="1"/>
  <c r="K71" i="1"/>
  <c r="P122" i="1" s="1"/>
  <c r="K77" i="1"/>
  <c r="P128" i="1" s="1"/>
  <c r="I68" i="1"/>
  <c r="I84" i="1"/>
  <c r="I59" i="1"/>
  <c r="I95" i="1"/>
  <c r="I94" i="1"/>
  <c r="K93" i="1"/>
  <c r="M144" i="1" s="1"/>
  <c r="K67" i="1"/>
  <c r="P118" i="1" s="1"/>
  <c r="I90" i="1"/>
  <c r="K64" i="1"/>
  <c r="P115" i="1" s="1"/>
  <c r="K68" i="1"/>
  <c r="P119" i="1" s="1"/>
  <c r="K72" i="1"/>
  <c r="P123" i="1" s="1"/>
  <c r="I88" i="1"/>
  <c r="K88" i="1"/>
  <c r="P139" i="1" s="1"/>
  <c r="K70" i="1"/>
  <c r="M121" i="1" s="1"/>
  <c r="I81" i="1"/>
  <c r="I62" i="1"/>
  <c r="I60" i="1"/>
  <c r="I85" i="1"/>
  <c r="K65" i="1"/>
  <c r="M116" i="1" s="1"/>
  <c r="K69" i="1"/>
  <c r="M120" i="1" s="1"/>
  <c r="I73" i="1"/>
  <c r="I64" i="1"/>
  <c r="K78" i="1"/>
  <c r="P129" i="1" s="1"/>
  <c r="K66" i="1"/>
  <c r="M117" i="1" s="1"/>
  <c r="I63" i="1"/>
  <c r="K48" i="1"/>
  <c r="K42" i="1"/>
  <c r="K40" i="1"/>
  <c r="K36" i="1"/>
  <c r="K44" i="1"/>
  <c r="K38" i="1"/>
  <c r="K46" i="1"/>
  <c r="K45" i="1"/>
  <c r="K39" i="1"/>
  <c r="K47" i="1"/>
  <c r="K34" i="1"/>
  <c r="K41" i="1"/>
  <c r="K43" i="1"/>
  <c r="K35" i="1"/>
  <c r="K37" i="1"/>
  <c r="D100" i="2"/>
  <c r="F75" i="2"/>
  <c r="F82" i="2"/>
  <c r="D107" i="2"/>
  <c r="D102" i="2"/>
  <c r="F77" i="2"/>
  <c r="D93" i="2"/>
  <c r="F68" i="2"/>
  <c r="D96" i="2"/>
  <c r="F71" i="2"/>
  <c r="F78" i="2"/>
  <c r="D103" i="2"/>
  <c r="D95" i="2"/>
  <c r="F70" i="2"/>
  <c r="D105" i="2"/>
  <c r="F80" i="2"/>
  <c r="F74" i="2"/>
  <c r="D99" i="2"/>
  <c r="F69" i="2"/>
  <c r="D94" i="2"/>
  <c r="D101" i="2"/>
  <c r="F76" i="2"/>
  <c r="D106" i="2"/>
  <c r="F81" i="2"/>
  <c r="D98" i="2"/>
  <c r="F73" i="2"/>
  <c r="D97" i="2"/>
  <c r="F72" i="2"/>
  <c r="A117" i="2"/>
  <c r="F56" i="2"/>
  <c r="I32" i="1"/>
  <c r="I17" i="1"/>
  <c r="H20" i="1" l="1"/>
  <c r="I20" i="1" s="1"/>
  <c r="K166" i="1"/>
  <c r="H37" i="1"/>
  <c r="J112" i="1" s="1"/>
  <c r="K167" i="1"/>
  <c r="P146" i="1"/>
  <c r="M138" i="1"/>
  <c r="P126" i="1"/>
  <c r="M132" i="1"/>
  <c r="M125" i="1"/>
  <c r="M140" i="1"/>
  <c r="M143" i="1"/>
  <c r="M142" i="1"/>
  <c r="M115" i="1"/>
  <c r="M145" i="1"/>
  <c r="P136" i="1"/>
  <c r="M134" i="1"/>
  <c r="M127" i="1"/>
  <c r="M130" i="1"/>
  <c r="M114" i="1"/>
  <c r="M129" i="1"/>
  <c r="M128" i="1"/>
  <c r="M123" i="1"/>
  <c r="M137" i="1"/>
  <c r="M124" i="1"/>
  <c r="M122" i="1"/>
  <c r="M119" i="1"/>
  <c r="M118" i="1"/>
  <c r="M131" i="1"/>
  <c r="M141" i="1"/>
  <c r="M113" i="1"/>
  <c r="M112" i="1"/>
  <c r="M111" i="1"/>
  <c r="A110" i="1"/>
  <c r="D110" i="1"/>
  <c r="M109" i="1"/>
  <c r="I37" i="1"/>
  <c r="P121" i="1"/>
  <c r="P144" i="1"/>
  <c r="P116" i="1"/>
  <c r="P135" i="1"/>
  <c r="P120" i="1"/>
  <c r="P110" i="1"/>
  <c r="P117" i="1"/>
  <c r="P133" i="1"/>
  <c r="M139" i="1"/>
  <c r="I97" i="1"/>
  <c r="J99" i="1" s="1"/>
  <c r="G112" i="1"/>
  <c r="D108" i="2"/>
  <c r="E113" i="2" s="1"/>
  <c r="F84" i="2"/>
  <c r="H35" i="1"/>
  <c r="H34" i="1"/>
  <c r="I34" i="1" s="1"/>
  <c r="H44" i="1"/>
  <c r="J119" i="1" s="1"/>
  <c r="H40" i="1"/>
  <c r="H36" i="1"/>
  <c r="H47" i="1"/>
  <c r="J122" i="1" s="1"/>
  <c r="H43" i="1"/>
  <c r="J118" i="1" s="1"/>
  <c r="H39" i="1"/>
  <c r="H46" i="1"/>
  <c r="J121" i="1" s="1"/>
  <c r="H42" i="1"/>
  <c r="H38" i="1"/>
  <c r="H48" i="1"/>
  <c r="H45" i="1"/>
  <c r="J120" i="1" s="1"/>
  <c r="H41" i="1"/>
  <c r="H19" i="1"/>
  <c r="H21" i="1"/>
  <c r="J123" i="1" l="1"/>
  <c r="I48" i="1"/>
  <c r="L170" i="1"/>
  <c r="K175" i="1" s="1"/>
  <c r="P148" i="1"/>
  <c r="F155" i="1" s="1"/>
  <c r="M148" i="1"/>
  <c r="E155" i="1" s="1"/>
  <c r="I39" i="1"/>
  <c r="J114" i="1"/>
  <c r="I40" i="1"/>
  <c r="J115" i="1"/>
  <c r="I19" i="1"/>
  <c r="D109" i="1"/>
  <c r="A109" i="1"/>
  <c r="I36" i="1"/>
  <c r="J111" i="1"/>
  <c r="I35" i="1"/>
  <c r="J110" i="1"/>
  <c r="I21" i="1"/>
  <c r="A111" i="1"/>
  <c r="D111" i="1"/>
  <c r="I38" i="1"/>
  <c r="J113" i="1"/>
  <c r="I41" i="1"/>
  <c r="J116" i="1"/>
  <c r="I42" i="1"/>
  <c r="J117" i="1"/>
  <c r="J109" i="1"/>
  <c r="G109" i="1"/>
  <c r="G118" i="1"/>
  <c r="I43" i="1"/>
  <c r="G119" i="1"/>
  <c r="I44" i="1"/>
  <c r="G122" i="1"/>
  <c r="I47" i="1"/>
  <c r="G120" i="1"/>
  <c r="I45" i="1"/>
  <c r="G121" i="1"/>
  <c r="I46" i="1"/>
  <c r="G123" i="1"/>
  <c r="G111" i="1"/>
  <c r="G113" i="1"/>
  <c r="G116" i="1"/>
  <c r="G117" i="1"/>
  <c r="G115" i="1"/>
  <c r="G110" i="1"/>
  <c r="G114" i="1"/>
  <c r="C123" i="2"/>
  <c r="C117" i="2"/>
  <c r="F23" i="1" l="1"/>
  <c r="F24" i="1" s="1"/>
  <c r="D112" i="1"/>
  <c r="F153" i="1" s="1"/>
  <c r="J124" i="1"/>
  <c r="F151" i="1" s="1"/>
  <c r="A112" i="1"/>
  <c r="E153" i="1" s="1"/>
  <c r="G124" i="1"/>
  <c r="E151" i="1" s="1"/>
  <c r="F131" i="2"/>
  <c r="D119" i="2"/>
  <c r="C124" i="2" s="1"/>
  <c r="C125" i="2" s="1"/>
  <c r="I50" i="1"/>
  <c r="F157" i="1" l="1"/>
  <c r="E157" i="1"/>
  <c r="J51" i="1"/>
  <c r="K52" i="1" s="1"/>
  <c r="M99" i="1" l="1"/>
  <c r="G157" i="1"/>
</calcChain>
</file>

<file path=xl/sharedStrings.xml><?xml version="1.0" encoding="utf-8"?>
<sst xmlns="http://schemas.openxmlformats.org/spreadsheetml/2006/main" count="191" uniqueCount="124">
  <si>
    <t xml:space="preserve">  Bond Value under the Vasicek model.</t>
    <phoneticPr fontId="1" type="noConversion"/>
  </si>
  <si>
    <t xml:space="preserve">   Instead, we know kappa and theta in the equivalent risk-neutral world.</t>
    <phoneticPr fontId="1" type="noConversion"/>
  </si>
  <si>
    <t>Parameters:</t>
    <phoneticPr fontId="1" type="noConversion"/>
  </si>
  <si>
    <t>sigma:</t>
    <phoneticPr fontId="1" type="noConversion"/>
  </si>
  <si>
    <t>theta-hat:</t>
    <phoneticPr fontId="1" type="noConversion"/>
  </si>
  <si>
    <t>kappa-hat:</t>
    <phoneticPr fontId="1" type="noConversion"/>
  </si>
  <si>
    <t xml:space="preserve">  (Veronesi uses the notation r-bar star -- highlighting the idea that this is the long-run mean of the short rate and in the equivalent risk-neutral world.)</t>
    <phoneticPr fontId="1" type="noConversion"/>
  </si>
  <si>
    <t xml:space="preserve">  (Veronesi uses the notation gamma-star.)</t>
    <phoneticPr fontId="1" type="noConversion"/>
  </si>
  <si>
    <t>So for the 1.5-year note, the price implied by the model is:</t>
    <phoneticPr fontId="1" type="noConversion"/>
  </si>
  <si>
    <t>Cash-flow Time</t>
    <phoneticPr fontId="1" type="noConversion"/>
  </si>
  <si>
    <t xml:space="preserve"> (Years)</t>
    <phoneticPr fontId="1" type="noConversion"/>
  </si>
  <si>
    <t>A</t>
    <phoneticPr fontId="1" type="noConversion"/>
  </si>
  <si>
    <t>B</t>
    <phoneticPr fontId="1" type="noConversion"/>
  </si>
  <si>
    <t>Cash Flow</t>
    <phoneticPr fontId="1" type="noConversion"/>
  </si>
  <si>
    <t>Coupon:</t>
    <phoneticPr fontId="1" type="noConversion"/>
  </si>
  <si>
    <t xml:space="preserve">            r:</t>
    <phoneticPr fontId="1" type="noConversion"/>
  </si>
  <si>
    <t>PV of Cash Flow</t>
    <phoneticPr fontId="1" type="noConversion"/>
  </si>
  <si>
    <t>Refer to the closed form expression for a yield to maturity under the Vasicek model, we can rewrite it:</t>
    <phoneticPr fontId="1" type="noConversion"/>
  </si>
  <si>
    <t>A bit of algebra shows that:</t>
    <phoneticPr fontId="1" type="noConversion"/>
  </si>
  <si>
    <t>in the form: Br - A</t>
    <phoneticPr fontId="1" type="noConversion"/>
  </si>
  <si>
    <t xml:space="preserve">Furthermore, we know that </t>
    <phoneticPr fontId="1" type="noConversion"/>
  </si>
  <si>
    <t>So we can write:</t>
    <phoneticPr fontId="1" type="noConversion"/>
  </si>
  <si>
    <t>and</t>
    <phoneticPr fontId="1" type="noConversion"/>
  </si>
  <si>
    <t>Note that A and B are functions of T.</t>
    <phoneticPr fontId="1" type="noConversion"/>
  </si>
  <si>
    <t>This type of specification also holds in the CIR model.  Of course A and B are different.</t>
    <phoneticPr fontId="1" type="noConversion"/>
  </si>
  <si>
    <t>Furthermore in a two-factor CIR model the form holds as each of the separate factors has its own A and B (again, dependent on the zero-coupon security's term.)</t>
    <phoneticPr fontId="1" type="noConversion"/>
  </si>
  <si>
    <t>This class of models is called Affine Term Structure Models.</t>
    <phoneticPr fontId="1" type="noConversion"/>
  </si>
  <si>
    <t>Case Study 16.8 (Veronesi, p. 579).</t>
    <phoneticPr fontId="1" type="noConversion"/>
  </si>
  <si>
    <t>Please note that Veronesi has not separately identified the risk premium lambda in the afine term structure models at this point in the book.</t>
    <phoneticPr fontId="1" type="noConversion"/>
  </si>
  <si>
    <t>Remember if all we are interested in is pricing and hedging, then we do not need to know separately lambda, kappa, and theta.</t>
    <phoneticPr fontId="1" type="noConversion"/>
  </si>
  <si>
    <t>Discussion:</t>
    <phoneticPr fontId="1" type="noConversion"/>
  </si>
  <si>
    <t>The model price is the invoice price.</t>
    <phoneticPr fontId="1" type="noConversion"/>
  </si>
  <si>
    <t>By contrast, market prices are quoted net of accrued interest.</t>
    <phoneticPr fontId="1" type="noConversion"/>
  </si>
  <si>
    <t>Vasicek Bond value as per Veronesi:</t>
  </si>
  <si>
    <t>--I can't see where Veronesi tells us what the current state variable is.  So I back it out using Solver</t>
  </si>
  <si>
    <t>Market price of this note:</t>
  </si>
  <si>
    <t xml:space="preserve">  (mid-point of the bid-ask spread.)</t>
  </si>
  <si>
    <t xml:space="preserve">Since the market price of the security exceeds the model price, if we place our faith in the model, we can sell the note and replicate it -- using model implied </t>
  </si>
  <si>
    <t>hedge ratios -- to make arbitrage profits.</t>
  </si>
  <si>
    <t>Use the 7.5 year note to replicate:</t>
  </si>
  <si>
    <t>And, spot rates:</t>
  </si>
  <si>
    <t>Vasicek</t>
  </si>
  <si>
    <t>Discount</t>
  </si>
  <si>
    <t>This note's market price:</t>
  </si>
  <si>
    <t>Since this note is closely priced by Vasicek, we'll use it to replicate the overpriced note.</t>
  </si>
  <si>
    <t>To do this, we need the delta of both notes.</t>
  </si>
  <si>
    <t>Delta is the change in the value of the security given a small change in the state variable.</t>
  </si>
  <si>
    <t>A nice feature of the affine models is that the delta is a linear expression .</t>
  </si>
  <si>
    <t>Delta of the 1.5-year note:</t>
  </si>
  <si>
    <t>Delta of the 7.5 year note:</t>
  </si>
  <si>
    <t>So if we combine 1 unit of the 1.5-year note with:</t>
  </si>
  <si>
    <t>units in the opposite sign of the 7.5 year note, this position will be neutralized wrt the state variable, under the Vasicek model.</t>
  </si>
  <si>
    <t>We want to sell 1 unit of the 1.5-year note, so our model-implied replication is:</t>
  </si>
  <si>
    <t xml:space="preserve">        =</t>
  </si>
  <si>
    <t xml:space="preserve">       *    </t>
  </si>
  <si>
    <t xml:space="preserve">       + </t>
  </si>
  <si>
    <t>Cash</t>
  </si>
  <si>
    <t>This means we have to hold</t>
  </si>
  <si>
    <t xml:space="preserve">  in cash.</t>
  </si>
  <si>
    <t>Transactions:</t>
  </si>
  <si>
    <t>Sell the 1.5-year note:</t>
  </si>
  <si>
    <t>Buy the 7.5-year note:</t>
  </si>
  <si>
    <t>Set aside cash</t>
  </si>
  <si>
    <t>Net Cash flow:</t>
  </si>
  <si>
    <t>See the discussion on p. 585 about how much capital is required to make this trade.</t>
  </si>
  <si>
    <t>In particular, to sell the 1.5-year note, we borrow the note from a securities lender and post the cash from selling the note as collateral.</t>
  </si>
  <si>
    <t>We earn the repo rate on that cash.</t>
  </si>
  <si>
    <t>We borrow the funds needed to  purchase the 7.5-year note by posting this note as collateral in a repo agreement.</t>
  </si>
  <si>
    <t>If the haircut is 2%, then we need:</t>
  </si>
  <si>
    <t xml:space="preserve">  of our firm's capital for each par unit of this transaction.</t>
  </si>
  <si>
    <t>Factor 1</t>
  </si>
  <si>
    <t>Factor 2</t>
  </si>
  <si>
    <t>lambda</t>
  </si>
  <si>
    <t>theta</t>
  </si>
  <si>
    <t>kappa</t>
  </si>
  <si>
    <t>gamma</t>
  </si>
  <si>
    <t>A1</t>
  </si>
  <si>
    <t>B1</t>
  </si>
  <si>
    <t>A2</t>
  </si>
  <si>
    <t>B2</t>
  </si>
  <si>
    <t>factor 1</t>
  </si>
  <si>
    <t>factor 2</t>
  </si>
  <si>
    <t>CIR</t>
  </si>
  <si>
    <t>In a 2-factor model, neither factor is observable.  Furthermore, the instantaneous risk-free rate is also not observable.</t>
  </si>
  <si>
    <t>19-year Bond</t>
  </si>
  <si>
    <t>Model Price:</t>
  </si>
  <si>
    <t>Market Price:</t>
  </si>
  <si>
    <t>We have a 2-factor model, so we should be able to hedge against changes in the slope of the yield curve.</t>
  </si>
  <si>
    <t>To do this, we need both delta of all 3 notes.</t>
  </si>
  <si>
    <t xml:space="preserve">  wrt Factor 1</t>
  </si>
  <si>
    <t xml:space="preserve">  wrt Factor 2</t>
  </si>
  <si>
    <t>Delta of the 19-year note:</t>
  </si>
  <si>
    <t>Fix short position in bullet:</t>
  </si>
  <si>
    <t>der wrt F1</t>
  </si>
  <si>
    <t>der wrt F2</t>
  </si>
  <si>
    <t>Position in Short Note:</t>
  </si>
  <si>
    <t>Position in Long Note</t>
  </si>
  <si>
    <t>Net exposure to factors:</t>
  </si>
  <si>
    <t>T 6.5 08/15/05 Govt</t>
  </si>
  <si>
    <t>Date</t>
  </si>
  <si>
    <t>PX_ASK</t>
  </si>
  <si>
    <t>PX_BID</t>
  </si>
  <si>
    <t>PX_LAST</t>
  </si>
  <si>
    <t>T 5 08/15/11 Govt</t>
  </si>
  <si>
    <t>T 7.125 02/15/23 Govt</t>
  </si>
  <si>
    <t>--Note that the Bloomberg prices differ from those reported in the text.  The ask looks correct (with some typos), but what Veronesi reports as the mid is actually the bid (with some typos).</t>
  </si>
  <si>
    <t>After 1 week:</t>
  </si>
  <si>
    <t>Security</t>
  </si>
  <si>
    <t>Initial Position</t>
  </si>
  <si>
    <t>M</t>
  </si>
  <si>
    <t>L</t>
  </si>
  <si>
    <t>S</t>
  </si>
  <si>
    <t>Total:</t>
  </si>
  <si>
    <t>After 2 weeks</t>
  </si>
  <si>
    <t>AI</t>
  </si>
  <si>
    <t>After 1 month</t>
  </si>
  <si>
    <t>Profit:</t>
  </si>
  <si>
    <t>Now we also have to evaluate the hedge.</t>
  </si>
  <si>
    <t xml:space="preserve">  Note Value under the 2F-CIR model.</t>
  </si>
  <si>
    <t>Inst Short Rate:</t>
  </si>
  <si>
    <t>Let's put on a relative value trade that is also long convexity.  We short the 7.5-year note and buy the 1.5- and 19-year notes.</t>
  </si>
  <si>
    <t>Yield on portfolio:</t>
  </si>
  <si>
    <t>ytm:</t>
  </si>
  <si>
    <t>Butterfly spread:</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</si>
</sst>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0"/>
      <name val="Verdana"/>
    </font>
    <font>
      <sz val="8"/>
      <name val="Verdana"/>
    </font>
    <font>
      <b/>
      <sz val="10"/>
      <name val="Verdana"/>
      <family val="2"/>
    </font>
    <font>
      <sz val="10"/>
      <name val="Verdana"/>
      <family val="2"/>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0" fillId="0" borderId="0" xfId="0" quotePrefix="1"/>
    <xf numFmtId="0" fontId="2" fillId="0" borderId="0" xfId="0" applyFont="1"/>
    <xf numFmtId="0" fontId="3" fillId="0" borderId="0" xfId="0" applyFont="1"/>
    <xf numFmtId="0" fontId="3" fillId="0" borderId="0" xfId="0" quotePrefix="1" applyFont="1"/>
    <xf numFmtId="0" fontId="0" fillId="0" borderId="0" xfId="0" applyAlignment="1">
      <alignment horizontal="center"/>
    </xf>
    <xf numFmtId="0" fontId="0" fillId="0" borderId="0" xfId="0" applyAlignment="1">
      <alignment horizontal="right"/>
    </xf>
    <xf numFmtId="0" fontId="0" fillId="0" borderId="0" xfId="0" applyAlignment="1">
      <alignment horizontal="left"/>
    </xf>
    <xf numFmtId="14" fontId="0" fillId="0" borderId="0" xfId="0" applyNumberFormat="1"/>
  </cellXfs>
  <cellStyles count="1">
    <cellStyle name="Normal" xfId="0" builtinId="0"/>
  </cellStyles>
  <dxfs count="0"/>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vmlDrawing1.vml.rels><?xml version="1.0" encoding="UTF-8" standalone="yes"?>
<Relationships xmlns="http://schemas.openxmlformats.org/package/2006/relationships"><Relationship Id="rId3" Type="http://schemas.openxmlformats.org/officeDocument/2006/relationships/image" Target="../media/image3.emf"/><Relationship Id="rId2" Type="http://schemas.openxmlformats.org/officeDocument/2006/relationships/image" Target="../media/image2.wmf"/><Relationship Id="rId1" Type="http://schemas.openxmlformats.org/officeDocument/2006/relationships/image" Target="../media/image1.wmf"/><Relationship Id="rId4" Type="http://schemas.openxmlformats.org/officeDocument/2006/relationships/image" Target="../media/image4.w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104775</xdr:colOff>
          <xdr:row>11</xdr:row>
          <xdr:rowOff>95250</xdr:rowOff>
        </xdr:from>
        <xdr:to>
          <xdr:col>3</xdr:col>
          <xdr:colOff>371475</xdr:colOff>
          <xdr:row>16</xdr:row>
          <xdr:rowOff>0</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95250</xdr:colOff>
          <xdr:row>19</xdr:row>
          <xdr:rowOff>28575</xdr:rowOff>
        </xdr:from>
        <xdr:to>
          <xdr:col>4</xdr:col>
          <xdr:colOff>533400</xdr:colOff>
          <xdr:row>22</xdr:row>
          <xdr:rowOff>76200</xdr:rowOff>
        </xdr:to>
        <xdr:sp macro="" textlink="">
          <xdr:nvSpPr>
            <xdr:cNvPr id="2050" name="Object 2" hidden="1">
              <a:extLst>
                <a:ext uri="{63B3BB69-23CF-44E3-9099-C40C66FF867C}">
                  <a14:compatExt spid="_x0000_s20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2</xdr:row>
          <xdr:rowOff>76200</xdr:rowOff>
        </xdr:from>
        <xdr:to>
          <xdr:col>5</xdr:col>
          <xdr:colOff>57150</xdr:colOff>
          <xdr:row>5</xdr:row>
          <xdr:rowOff>47625</xdr:rowOff>
        </xdr:to>
        <xdr:sp macro="" textlink="">
          <xdr:nvSpPr>
            <xdr:cNvPr id="2051" name="Object 3" hidden="1">
              <a:extLst>
                <a:ext uri="{63B3BB69-23CF-44E3-9099-C40C66FF867C}">
                  <a14:compatExt spid="_x0000_s20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85725</xdr:colOff>
          <xdr:row>7</xdr:row>
          <xdr:rowOff>57150</xdr:rowOff>
        </xdr:from>
        <xdr:to>
          <xdr:col>5</xdr:col>
          <xdr:colOff>57150</xdr:colOff>
          <xdr:row>10</xdr:row>
          <xdr:rowOff>28575</xdr:rowOff>
        </xdr:to>
        <xdr:sp macro="" textlink="">
          <xdr:nvSpPr>
            <xdr:cNvPr id="2052" name="Object 4" hidden="1">
              <a:extLst>
                <a:ext uri="{63B3BB69-23CF-44E3-9099-C40C66FF867C}">
                  <a14:compatExt spid="_x0000_s2052"/>
                </a:ext>
              </a:extLst>
            </xdr:cNvPr>
            <xdr:cNvSpPr/>
          </xdr:nvSpPr>
          <xdr:spPr>
            <a:xfrm>
              <a:off x="0" y="0"/>
              <a:ext cx="0" cy="0"/>
            </a:xfrm>
            <a:prstGeom prst="rect">
              <a:avLst/>
            </a:prstGeom>
          </xdr:spPr>
        </xdr:sp>
        <xdr:clientData/>
      </xdr:twoCellAnchor>
    </mc:Choice>
    <mc:Fallback/>
  </mc:AlternateContent>
  <xdr:oneCellAnchor>
    <xdr:from>
      <xdr:col>1</xdr:col>
      <xdr:colOff>376236</xdr:colOff>
      <xdr:row>24</xdr:row>
      <xdr:rowOff>90487</xdr:rowOff>
    </xdr:from>
    <xdr:ext cx="1909763" cy="264560"/>
    <mc:AlternateContent xmlns:mc="http://schemas.openxmlformats.org/markup-compatibility/2006" xmlns:a14="http://schemas.microsoft.com/office/drawing/2010/main">
      <mc:Choice Requires="a14">
        <xdr:sp macro="" textlink="">
          <xdr:nvSpPr>
            <xdr:cNvPr id="6" name="TextBox 5"/>
            <xdr:cNvSpPr txBox="1"/>
          </xdr:nvSpPr>
          <xdr:spPr>
            <a:xfrm>
              <a:off x="1214436" y="3976687"/>
              <a:ext cx="1909763"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14:m>
                <m:oMath xmlns:m="http://schemas.openxmlformats.org/officeDocument/2006/math">
                  <m:r>
                    <a:rPr lang="en-US" sz="1100" b="0" i="1">
                      <a:latin typeface="Cambria Math"/>
                    </a:rPr>
                    <m:t>𝑟</m:t>
                  </m:r>
                </m:oMath>
              </a14:m>
              <a:r>
                <a:rPr lang="en-US" sz="1100"/>
                <a:t>(T) = A(T)/T + (B(T)/T)r</a:t>
              </a:r>
            </a:p>
          </xdr:txBody>
        </xdr:sp>
      </mc:Choice>
      <mc:Fallback xmlns="">
        <xdr:sp macro="" textlink="">
          <xdr:nvSpPr>
            <xdr:cNvPr id="6" name="TextBox 5"/>
            <xdr:cNvSpPr txBox="1"/>
          </xdr:nvSpPr>
          <xdr:spPr>
            <a:xfrm>
              <a:off x="1214436" y="3976687"/>
              <a:ext cx="1909763"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spAutoFit/>
            </a:bodyPr>
            <a:lstStyle/>
            <a:p>
              <a:r>
                <a:rPr lang="en-US" sz="1100" b="0" i="0">
                  <a:latin typeface="Cambria Math"/>
                </a:rPr>
                <a:t>𝑟</a:t>
              </a:r>
              <a:r>
                <a:rPr lang="en-US" sz="1100"/>
                <a:t>(T) = A(T)/T + (B(T)/T)r</a:t>
              </a:r>
            </a:p>
          </xdr:txBody>
        </xdr:sp>
      </mc:Fallback>
    </mc:AlternateContent>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oleObject" Target="../embeddings/oleObject3.bin"/><Relationship Id="rId3" Type="http://schemas.openxmlformats.org/officeDocument/2006/relationships/vmlDrawing" Target="../drawings/vmlDrawing1.vml"/><Relationship Id="rId7" Type="http://schemas.openxmlformats.org/officeDocument/2006/relationships/image" Target="../media/image2.w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oleObject" Target="../embeddings/oleObject2.bin"/><Relationship Id="rId11" Type="http://schemas.openxmlformats.org/officeDocument/2006/relationships/image" Target="../media/image4.wmf"/><Relationship Id="rId5" Type="http://schemas.openxmlformats.org/officeDocument/2006/relationships/image" Target="../media/image1.wmf"/><Relationship Id="rId10" Type="http://schemas.openxmlformats.org/officeDocument/2006/relationships/oleObject" Target="../embeddings/oleObject4.bin"/><Relationship Id="rId4" Type="http://schemas.openxmlformats.org/officeDocument/2006/relationships/oleObject" Target="../embeddings/oleObject1.bin"/><Relationship Id="rId9" Type="http://schemas.openxmlformats.org/officeDocument/2006/relationships/image" Target="../media/image3.emf"/></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ublished="0"/>
  <dimension ref="A1:I131"/>
  <sheetViews>
    <sheetView topLeftCell="A88" workbookViewId="0">
      <selection activeCell="E117" sqref="E117"/>
    </sheetView>
  </sheetViews>
  <sheetFormatPr defaultColWidth="11" defaultRowHeight="12.75" x14ac:dyDescent="0.2"/>
  <sheetData>
    <row r="1" spans="1:1" x14ac:dyDescent="0.2">
      <c r="A1" t="s">
        <v>17</v>
      </c>
    </row>
    <row r="2" spans="1:1" x14ac:dyDescent="0.2">
      <c r="A2" t="s">
        <v>19</v>
      </c>
    </row>
    <row r="3" spans="1:1" x14ac:dyDescent="0.2">
      <c r="A3" t="s">
        <v>20</v>
      </c>
    </row>
    <row r="7" spans="1:1" x14ac:dyDescent="0.2">
      <c r="A7" t="s">
        <v>21</v>
      </c>
    </row>
    <row r="12" spans="1:1" x14ac:dyDescent="0.2">
      <c r="A12" t="s">
        <v>18</v>
      </c>
    </row>
    <row r="18" spans="1:2" x14ac:dyDescent="0.2">
      <c r="A18" t="s">
        <v>22</v>
      </c>
    </row>
    <row r="25" spans="1:2" x14ac:dyDescent="0.2">
      <c r="A25" t="s">
        <v>40</v>
      </c>
    </row>
    <row r="29" spans="1:2" x14ac:dyDescent="0.2">
      <c r="A29" t="s">
        <v>23</v>
      </c>
    </row>
    <row r="31" spans="1:2" x14ac:dyDescent="0.2">
      <c r="A31" t="s">
        <v>24</v>
      </c>
    </row>
    <row r="32" spans="1:2" x14ac:dyDescent="0.2">
      <c r="B32" t="s">
        <v>25</v>
      </c>
    </row>
    <row r="33" spans="1:4" x14ac:dyDescent="0.2">
      <c r="A33" t="s">
        <v>26</v>
      </c>
    </row>
    <row r="36" spans="1:4" x14ac:dyDescent="0.2">
      <c r="A36" t="s">
        <v>27</v>
      </c>
    </row>
    <row r="38" spans="1:4" x14ac:dyDescent="0.2">
      <c r="B38" t="s">
        <v>28</v>
      </c>
    </row>
    <row r="39" spans="1:4" x14ac:dyDescent="0.2">
      <c r="C39" t="s">
        <v>29</v>
      </c>
    </row>
    <row r="40" spans="1:4" x14ac:dyDescent="0.2">
      <c r="C40" t="s">
        <v>1</v>
      </c>
    </row>
    <row r="43" spans="1:4" x14ac:dyDescent="0.2">
      <c r="A43" t="s">
        <v>2</v>
      </c>
    </row>
    <row r="44" spans="1:4" x14ac:dyDescent="0.2">
      <c r="B44" t="s">
        <v>3</v>
      </c>
      <c r="C44">
        <v>3.1699999999999999E-2</v>
      </c>
    </row>
    <row r="45" spans="1:4" x14ac:dyDescent="0.2">
      <c r="B45" t="s">
        <v>4</v>
      </c>
      <c r="C45">
        <v>0.18990000000000001</v>
      </c>
      <c r="D45" t="s">
        <v>6</v>
      </c>
    </row>
    <row r="46" spans="1:4" x14ac:dyDescent="0.2">
      <c r="B46" t="s">
        <v>5</v>
      </c>
      <c r="C46">
        <v>5.8299999999999998E-2</v>
      </c>
      <c r="D46" t="s">
        <v>7</v>
      </c>
    </row>
    <row r="48" spans="1:4" x14ac:dyDescent="0.2">
      <c r="A48" t="s">
        <v>8</v>
      </c>
    </row>
    <row r="49" spans="1:9" x14ac:dyDescent="0.2">
      <c r="A49" t="s">
        <v>9</v>
      </c>
      <c r="E49" t="s">
        <v>14</v>
      </c>
      <c r="F49">
        <f>6.5/2</f>
        <v>3.25</v>
      </c>
      <c r="G49" t="s">
        <v>15</v>
      </c>
      <c r="H49">
        <v>1.04E-2</v>
      </c>
    </row>
    <row r="50" spans="1:9" x14ac:dyDescent="0.2">
      <c r="A50" t="s">
        <v>10</v>
      </c>
      <c r="B50" t="s">
        <v>11</v>
      </c>
      <c r="C50" t="s">
        <v>12</v>
      </c>
      <c r="E50" t="s">
        <v>13</v>
      </c>
      <c r="F50" t="s">
        <v>16</v>
      </c>
    </row>
    <row r="51" spans="1:9" x14ac:dyDescent="0.2">
      <c r="A51">
        <v>0.5</v>
      </c>
      <c r="B51">
        <f>(C51-A51)*($C$45-($C$44^2/(2*$C$46^2)))-($C$44^2*C51^2)/(4*$C$46)</f>
        <v>-1.3500631426114685E-3</v>
      </c>
      <c r="C51">
        <f>(1-EXP(-$C$46*A51))/$C$46</f>
        <v>0.4927827971728368</v>
      </c>
      <c r="E51">
        <f>F49</f>
        <v>3.25</v>
      </c>
      <c r="F51">
        <f>E51*EXP(B51-C51*$H$49)</f>
        <v>3.2290242186638176</v>
      </c>
      <c r="H51" t="s">
        <v>30</v>
      </c>
      <c r="I51" t="s">
        <v>31</v>
      </c>
    </row>
    <row r="52" spans="1:9" x14ac:dyDescent="0.2">
      <c r="A52">
        <v>1</v>
      </c>
      <c r="B52">
        <f t="shared" ref="B52:B53" si="0">(C52-A52)*($C$45-($C$44^2/(2*$C$46^2)))-($C$44^2*C52^2)/(4*$C$46)</f>
        <v>-5.2692062387735897E-3</v>
      </c>
      <c r="C52">
        <f t="shared" ref="C52:C53" si="1">(1-EXP(-$C$46*A52))/$C$46</f>
        <v>0.97140832053912562</v>
      </c>
      <c r="E52">
        <f>F49</f>
        <v>3.25</v>
      </c>
      <c r="F52">
        <f t="shared" ref="F52:F53" si="2">E52*EXP(B52-C52*$H$49)</f>
        <v>3.2004234960642672</v>
      </c>
      <c r="I52" t="s">
        <v>32</v>
      </c>
    </row>
    <row r="53" spans="1:9" x14ac:dyDescent="0.2">
      <c r="A53">
        <v>1.5</v>
      </c>
      <c r="B53">
        <f t="shared" si="0"/>
        <v>-1.1570157598255727E-2</v>
      </c>
      <c r="C53">
        <f t="shared" si="1"/>
        <v>1.4362832977743929</v>
      </c>
      <c r="E53">
        <f>100+F49</f>
        <v>103.25</v>
      </c>
      <c r="F53">
        <f t="shared" si="2"/>
        <v>100.54905601361844</v>
      </c>
    </row>
    <row r="55" spans="1:9" x14ac:dyDescent="0.2">
      <c r="F55">
        <f>SUM(F51:F53)</f>
        <v>106.97850372834652</v>
      </c>
      <c r="G55" t="s">
        <v>0</v>
      </c>
    </row>
    <row r="56" spans="1:9" x14ac:dyDescent="0.2">
      <c r="B56" t="s">
        <v>33</v>
      </c>
      <c r="E56">
        <v>106.9791</v>
      </c>
      <c r="F56">
        <f>(F55-E56)^2*1000000</f>
        <v>0.35553988474162368</v>
      </c>
    </row>
    <row r="58" spans="1:9" x14ac:dyDescent="0.2">
      <c r="B58" s="1" t="s">
        <v>34</v>
      </c>
    </row>
    <row r="60" spans="1:9" x14ac:dyDescent="0.2">
      <c r="B60" t="s">
        <v>35</v>
      </c>
      <c r="D60">
        <v>107.54689999999999</v>
      </c>
      <c r="E60" t="s">
        <v>36</v>
      </c>
    </row>
    <row r="62" spans="1:9" x14ac:dyDescent="0.2">
      <c r="A62" t="s">
        <v>37</v>
      </c>
    </row>
    <row r="63" spans="1:9" x14ac:dyDescent="0.2">
      <c r="B63" t="s">
        <v>38</v>
      </c>
    </row>
    <row r="65" spans="1:8" x14ac:dyDescent="0.2">
      <c r="A65" t="s">
        <v>39</v>
      </c>
    </row>
    <row r="66" spans="1:8" x14ac:dyDescent="0.2">
      <c r="A66" t="s">
        <v>9</v>
      </c>
      <c r="E66" t="s">
        <v>14</v>
      </c>
      <c r="F66">
        <f>5/2</f>
        <v>2.5</v>
      </c>
      <c r="H66" t="s">
        <v>41</v>
      </c>
    </row>
    <row r="67" spans="1:8" x14ac:dyDescent="0.2">
      <c r="A67" t="s">
        <v>10</v>
      </c>
      <c r="B67" t="s">
        <v>11</v>
      </c>
      <c r="C67" t="s">
        <v>12</v>
      </c>
      <c r="E67" t="s">
        <v>13</v>
      </c>
      <c r="F67" t="s">
        <v>16</v>
      </c>
      <c r="H67" t="s">
        <v>42</v>
      </c>
    </row>
    <row r="68" spans="1:8" x14ac:dyDescent="0.2">
      <c r="A68">
        <v>0.5</v>
      </c>
      <c r="B68">
        <f>(C68-A68)*($C$45-($C$44^2/(2*$C$46^2)))-($C$44^2*$C68^2)/(4*$C$46)</f>
        <v>-1.3500631426114685E-3</v>
      </c>
      <c r="C68">
        <f>(1-EXP(-$C$46*A68))/$C$46</f>
        <v>0.4927827971728368</v>
      </c>
      <c r="E68">
        <f>$F$66</f>
        <v>2.5</v>
      </c>
      <c r="F68">
        <f>E68*EXP(B68-C68*$H$49)</f>
        <v>2.4838647835875518</v>
      </c>
      <c r="H68">
        <f>EXP(B68-C68*$H$49)</f>
        <v>0.99354591343502074</v>
      </c>
    </row>
    <row r="69" spans="1:8" x14ac:dyDescent="0.2">
      <c r="A69">
        <v>1</v>
      </c>
      <c r="B69">
        <f t="shared" ref="B69:B82" si="3">(C69-A69)*($C$45-($C$44^2/(2*$C$46^2)))-($C$44^2*$C69^2)/(4*$C$46)</f>
        <v>-5.2692062387735897E-3</v>
      </c>
      <c r="C69">
        <f t="shared" ref="C69:C82" si="4">(1-EXP(-$C$46*A69))/$C$46</f>
        <v>0.97140832053912562</v>
      </c>
      <c r="E69">
        <f t="shared" ref="E69:E81" si="5">$F$66</f>
        <v>2.5</v>
      </c>
      <c r="F69">
        <f t="shared" ref="F69:F82" si="6">E69*EXP(B69-C69*$H$49)</f>
        <v>2.461864227741744</v>
      </c>
      <c r="H69">
        <f t="shared" ref="H69:H82" si="7">EXP(B69-C69*$H$49)</f>
        <v>0.98474569109669763</v>
      </c>
    </row>
    <row r="70" spans="1:8" x14ac:dyDescent="0.2">
      <c r="A70">
        <v>1.5</v>
      </c>
      <c r="B70">
        <f t="shared" si="3"/>
        <v>-1.1570157598255727E-2</v>
      </c>
      <c r="C70">
        <f t="shared" si="4"/>
        <v>1.4362832977743929</v>
      </c>
      <c r="E70">
        <f t="shared" si="5"/>
        <v>2.5</v>
      </c>
      <c r="F70">
        <f t="shared" si="6"/>
        <v>2.4346018405234489</v>
      </c>
      <c r="H70">
        <f t="shared" si="7"/>
        <v>0.9738407362093795</v>
      </c>
    </row>
    <row r="71" spans="1:8" x14ac:dyDescent="0.2">
      <c r="A71">
        <v>2</v>
      </c>
      <c r="B71">
        <f t="shared" si="3"/>
        <v>-2.0077451521296322E-2</v>
      </c>
      <c r="C71">
        <f t="shared" si="4"/>
        <v>1.8878027715783536</v>
      </c>
      <c r="E71">
        <f t="shared" si="5"/>
        <v>2.5</v>
      </c>
      <c r="F71">
        <f t="shared" si="6"/>
        <v>2.4026688288045879</v>
      </c>
      <c r="H71">
        <f t="shared" si="7"/>
        <v>0.96106753152183511</v>
      </c>
    </row>
    <row r="72" spans="1:8" x14ac:dyDescent="0.2">
      <c r="A72">
        <v>2.5</v>
      </c>
      <c r="B72">
        <f t="shared" si="3"/>
        <v>-3.0626725207496007E-2</v>
      </c>
      <c r="C72">
        <f t="shared" si="4"/>
        <v>2.3263504353753399</v>
      </c>
      <c r="E72">
        <f t="shared" si="5"/>
        <v>2.5</v>
      </c>
      <c r="F72">
        <f t="shared" si="6"/>
        <v>2.3666370048502556</v>
      </c>
      <c r="H72">
        <f t="shared" si="7"/>
        <v>0.94665480194010232</v>
      </c>
    </row>
    <row r="73" spans="1:8" x14ac:dyDescent="0.2">
      <c r="A73">
        <v>3</v>
      </c>
      <c r="B73">
        <f t="shared" si="3"/>
        <v>-4.3064056473561346E-2</v>
      </c>
      <c r="C73">
        <f t="shared" si="4"/>
        <v>2.7522989593703389</v>
      </c>
      <c r="E73">
        <f t="shared" si="5"/>
        <v>2.5</v>
      </c>
      <c r="F73">
        <f t="shared" si="6"/>
        <v>2.3270532467974436</v>
      </c>
      <c r="H73">
        <f t="shared" si="7"/>
        <v>0.93082129871897745</v>
      </c>
    </row>
    <row r="74" spans="1:8" x14ac:dyDescent="0.2">
      <c r="A74">
        <v>3.5</v>
      </c>
      <c r="B74">
        <f t="shared" si="3"/>
        <v>-5.7245339940308983E-2</v>
      </c>
      <c r="C74">
        <f t="shared" si="4"/>
        <v>3.1660103072376615</v>
      </c>
      <c r="E74">
        <f t="shared" si="5"/>
        <v>2.5</v>
      </c>
      <c r="F74">
        <f t="shared" si="6"/>
        <v>2.2844353557724988</v>
      </c>
      <c r="H74">
        <f t="shared" si="7"/>
        <v>0.91377414230899956</v>
      </c>
    </row>
    <row r="75" spans="1:8" x14ac:dyDescent="0.2">
      <c r="A75">
        <v>4</v>
      </c>
      <c r="B75">
        <f t="shared" si="3"/>
        <v>-7.3035699482653149E-2</v>
      </c>
      <c r="C75">
        <f t="shared" si="4"/>
        <v>3.5678360437114152</v>
      </c>
      <c r="E75">
        <f t="shared" si="5"/>
        <v>2.5</v>
      </c>
      <c r="F75">
        <f t="shared" si="6"/>
        <v>2.2392691437967267</v>
      </c>
      <c r="H75">
        <f t="shared" si="7"/>
        <v>0.89570765751869064</v>
      </c>
    </row>
    <row r="76" spans="1:8" x14ac:dyDescent="0.2">
      <c r="A76">
        <v>4.5</v>
      </c>
      <c r="B76">
        <f t="shared" si="3"/>
        <v>-9.0308934862044332E-2</v>
      </c>
      <c r="C76">
        <f t="shared" si="4"/>
        <v>3.9581176333391066</v>
      </c>
      <c r="E76">
        <f t="shared" si="5"/>
        <v>2.5</v>
      </c>
      <c r="F76">
        <f t="shared" si="6"/>
        <v>2.1920065859607298</v>
      </c>
      <c r="H76">
        <f t="shared" si="7"/>
        <v>0.87680263438429196</v>
      </c>
    </row>
    <row r="77" spans="1:8" x14ac:dyDescent="0.2">
      <c r="A77">
        <v>5</v>
      </c>
      <c r="B77">
        <f t="shared" si="3"/>
        <v>-0.10894700057942319</v>
      </c>
      <c r="C77">
        <f t="shared" si="4"/>
        <v>4.3371867306523093</v>
      </c>
      <c r="E77">
        <f t="shared" si="5"/>
        <v>2.5</v>
      </c>
      <c r="F77">
        <f t="shared" si="6"/>
        <v>2.1430648756020387</v>
      </c>
      <c r="H77">
        <f t="shared" si="7"/>
        <v>0.85722595024081549</v>
      </c>
    </row>
    <row r="78" spans="1:8" x14ac:dyDescent="0.2">
      <c r="A78">
        <v>5.5</v>
      </c>
      <c r="B78">
        <f t="shared" si="3"/>
        <v>-0.12883951509861502</v>
      </c>
      <c r="C78">
        <f t="shared" si="4"/>
        <v>4.7053654620009251</v>
      </c>
      <c r="E78">
        <f t="shared" si="5"/>
        <v>2.5</v>
      </c>
      <c r="F78">
        <f t="shared" si="6"/>
        <v>2.0928262306707897</v>
      </c>
      <c r="H78">
        <f t="shared" si="7"/>
        <v>0.83713049226831593</v>
      </c>
    </row>
    <row r="79" spans="1:8" x14ac:dyDescent="0.2">
      <c r="A79">
        <v>6</v>
      </c>
      <c r="B79">
        <f t="shared" si="3"/>
        <v>-0.14988329869559222</v>
      </c>
      <c r="C79">
        <f t="shared" si="4"/>
        <v>5.0629666992905902</v>
      </c>
      <c r="E79">
        <f t="shared" si="5"/>
        <v>2.5</v>
      </c>
      <c r="F79">
        <f t="shared" si="6"/>
        <v>2.041638311672723</v>
      </c>
      <c r="H79">
        <f t="shared" si="7"/>
        <v>0.8166553246690893</v>
      </c>
    </row>
    <row r="80" spans="1:8" x14ac:dyDescent="0.2">
      <c r="A80">
        <v>6.5</v>
      </c>
      <c r="B80">
        <f t="shared" si="3"/>
        <v>-0.17198193828854014</v>
      </c>
      <c r="C80">
        <f t="shared" si="4"/>
        <v>5.4102943258557836</v>
      </c>
      <c r="E80">
        <f t="shared" si="5"/>
        <v>2.5</v>
      </c>
      <c r="F80">
        <f t="shared" si="6"/>
        <v>1.9898151253701515</v>
      </c>
      <c r="H80">
        <f t="shared" si="7"/>
        <v>0.79592605014806062</v>
      </c>
    </row>
    <row r="81" spans="1:8" x14ac:dyDescent="0.2">
      <c r="A81">
        <v>7</v>
      </c>
      <c r="B81">
        <f t="shared" si="3"/>
        <v>-0.19504537769751279</v>
      </c>
      <c r="C81">
        <f t="shared" si="4"/>
        <v>5.7476434946946275</v>
      </c>
      <c r="E81">
        <f t="shared" si="5"/>
        <v>2.5</v>
      </c>
      <c r="F81">
        <f t="shared" si="6"/>
        <v>1.9376383028846955</v>
      </c>
      <c r="H81">
        <f t="shared" si="7"/>
        <v>0.77505532115387821</v>
      </c>
    </row>
    <row r="82" spans="1:8" x14ac:dyDescent="0.2">
      <c r="A82">
        <v>7.5</v>
      </c>
      <c r="B82">
        <f t="shared" si="3"/>
        <v>-0.21898953187098197</v>
      </c>
      <c r="C82">
        <f t="shared" si="4"/>
        <v>6.0753008792847867</v>
      </c>
      <c r="E82">
        <f>100+F66</f>
        <v>102.5</v>
      </c>
      <c r="F82">
        <f t="shared" si="6"/>
        <v>77.29970486680908</v>
      </c>
      <c r="H82">
        <f t="shared" si="7"/>
        <v>0.75414346211521055</v>
      </c>
    </row>
    <row r="84" spans="1:8" x14ac:dyDescent="0.2">
      <c r="F84">
        <f>SUM(F68:F82)</f>
        <v>108.69708873084447</v>
      </c>
    </row>
    <row r="85" spans="1:8" x14ac:dyDescent="0.2">
      <c r="C85" t="s">
        <v>43</v>
      </c>
      <c r="F85">
        <v>108.73439999999999</v>
      </c>
    </row>
    <row r="87" spans="1:8" x14ac:dyDescent="0.2">
      <c r="C87" t="s">
        <v>44</v>
      </c>
    </row>
    <row r="89" spans="1:8" x14ac:dyDescent="0.2">
      <c r="A89" t="s">
        <v>45</v>
      </c>
    </row>
    <row r="90" spans="1:8" x14ac:dyDescent="0.2">
      <c r="B90" t="s">
        <v>46</v>
      </c>
    </row>
    <row r="91" spans="1:8" x14ac:dyDescent="0.2">
      <c r="B91" t="s">
        <v>47</v>
      </c>
    </row>
    <row r="92" spans="1:8" x14ac:dyDescent="0.2">
      <c r="A92" t="s">
        <v>48</v>
      </c>
      <c r="D92" t="s">
        <v>49</v>
      </c>
    </row>
    <row r="93" spans="1:8" x14ac:dyDescent="0.2">
      <c r="A93">
        <f>-C51*E51*H68</f>
        <v>-1.5912075866119897</v>
      </c>
      <c r="D93">
        <f>-E68*C68*H68</f>
        <v>-1.2240058358553767</v>
      </c>
    </row>
    <row r="94" spans="1:8" x14ac:dyDescent="0.2">
      <c r="A94">
        <f t="shared" ref="A94:A95" si="8">-C52*E52*H69</f>
        <v>-3.1089180133257468</v>
      </c>
      <c r="D94">
        <f t="shared" ref="D94:D107" si="9">-E69*C69*H69</f>
        <v>-2.3914753948659593</v>
      </c>
    </row>
    <row r="95" spans="1:8" x14ac:dyDescent="0.2">
      <c r="A95">
        <f t="shared" si="8"/>
        <v>-144.41692975934203</v>
      </c>
      <c r="D95">
        <f t="shared" si="9"/>
        <v>-3.4967779602746258</v>
      </c>
    </row>
    <row r="96" spans="1:8" x14ac:dyDescent="0.2">
      <c r="A96" s="2">
        <f>SUM(A93:A95)</f>
        <v>-149.11705535927976</v>
      </c>
      <c r="D96">
        <f t="shared" si="9"/>
        <v>-4.5357648742022176</v>
      </c>
    </row>
    <row r="97" spans="4:4" x14ac:dyDescent="0.2">
      <c r="D97">
        <f t="shared" si="9"/>
        <v>-5.5056270266087823</v>
      </c>
    </row>
    <row r="98" spans="4:4" x14ac:dyDescent="0.2">
      <c r="D98">
        <f t="shared" si="9"/>
        <v>-6.4047462295599731</v>
      </c>
    </row>
    <row r="99" spans="4:4" x14ac:dyDescent="0.2">
      <c r="D99">
        <f t="shared" si="9"/>
        <v>-7.2325458825938655</v>
      </c>
    </row>
    <row r="100" spans="4:4" x14ac:dyDescent="0.2">
      <c r="D100">
        <f t="shared" si="9"/>
        <v>-7.9893451628087604</v>
      </c>
    </row>
    <row r="101" spans="4:4" x14ac:dyDescent="0.2">
      <c r="D101">
        <f t="shared" si="9"/>
        <v>-8.6762199202866181</v>
      </c>
    </row>
    <row r="102" spans="4:4" x14ac:dyDescent="0.2">
      <c r="D102">
        <f t="shared" si="9"/>
        <v>-9.2948725413882052</v>
      </c>
    </row>
    <row r="103" spans="4:4" x14ac:dyDescent="0.2">
      <c r="D103">
        <f t="shared" si="9"/>
        <v>-9.847512263767916</v>
      </c>
    </row>
    <row r="104" spans="4:4" x14ac:dyDescent="0.2">
      <c r="D104">
        <f t="shared" si="9"/>
        <v>-10.336746783994862</v>
      </c>
    </row>
    <row r="105" spans="4:4" x14ac:dyDescent="0.2">
      <c r="D105">
        <f t="shared" si="9"/>
        <v>-10.765485482292146</v>
      </c>
    </row>
    <row r="106" spans="4:4" x14ac:dyDescent="0.2">
      <c r="D106">
        <f t="shared" si="9"/>
        <v>-11.136854186646358</v>
      </c>
    </row>
    <row r="107" spans="4:4" x14ac:dyDescent="0.2">
      <c r="D107">
        <f t="shared" si="9"/>
        <v>-469.61896494577974</v>
      </c>
    </row>
    <row r="108" spans="4:4" x14ac:dyDescent="0.2">
      <c r="D108" s="2">
        <f>SUM(D93:D107)</f>
        <v>-568.45694449092537</v>
      </c>
    </row>
    <row r="113" spans="1:7" x14ac:dyDescent="0.2">
      <c r="A113" s="3" t="s">
        <v>50</v>
      </c>
      <c r="E113" s="2">
        <f>A96/D108</f>
        <v>0.26231899672334852</v>
      </c>
      <c r="F113" s="3" t="s">
        <v>51</v>
      </c>
    </row>
    <row r="115" spans="1:7" x14ac:dyDescent="0.2">
      <c r="A115" s="3" t="s">
        <v>52</v>
      </c>
    </row>
    <row r="117" spans="1:7" x14ac:dyDescent="0.2">
      <c r="A117">
        <f>F55</f>
        <v>106.97850372834652</v>
      </c>
      <c r="B117" s="4" t="s">
        <v>53</v>
      </c>
      <c r="C117">
        <f>E113</f>
        <v>0.26231899672334852</v>
      </c>
      <c r="D117" s="4" t="s">
        <v>54</v>
      </c>
      <c r="E117">
        <f>F85</f>
        <v>108.73439999999999</v>
      </c>
      <c r="F117" s="4" t="s">
        <v>55</v>
      </c>
      <c r="G117" s="3" t="s">
        <v>56</v>
      </c>
    </row>
    <row r="119" spans="1:7" x14ac:dyDescent="0.2">
      <c r="A119" s="3" t="s">
        <v>57</v>
      </c>
      <c r="D119">
        <f>A117-C117*E117</f>
        <v>78.45540501103126</v>
      </c>
      <c r="E119" s="3" t="s">
        <v>58</v>
      </c>
    </row>
    <row r="121" spans="1:7" x14ac:dyDescent="0.2">
      <c r="A121" s="3" t="s">
        <v>59</v>
      </c>
    </row>
    <row r="122" spans="1:7" x14ac:dyDescent="0.2">
      <c r="A122" s="3" t="s">
        <v>60</v>
      </c>
      <c r="C122">
        <f>D60</f>
        <v>107.54689999999999</v>
      </c>
    </row>
    <row r="123" spans="1:7" x14ac:dyDescent="0.2">
      <c r="A123" s="3" t="s">
        <v>61</v>
      </c>
      <c r="C123">
        <f>-E113*F85</f>
        <v>-28.523098717315264</v>
      </c>
    </row>
    <row r="124" spans="1:7" x14ac:dyDescent="0.2">
      <c r="A124" s="3" t="s">
        <v>62</v>
      </c>
      <c r="C124">
        <f>-D119</f>
        <v>-78.45540501103126</v>
      </c>
    </row>
    <row r="125" spans="1:7" x14ac:dyDescent="0.2">
      <c r="A125" s="3" t="s">
        <v>63</v>
      </c>
      <c r="C125">
        <f>SUM(C122:C124)</f>
        <v>0.5683962716534694</v>
      </c>
    </row>
    <row r="127" spans="1:7" x14ac:dyDescent="0.2">
      <c r="A127" s="3" t="s">
        <v>64</v>
      </c>
    </row>
    <row r="128" spans="1:7" x14ac:dyDescent="0.2">
      <c r="B128" s="3" t="s">
        <v>65</v>
      </c>
    </row>
    <row r="129" spans="2:7" x14ac:dyDescent="0.2">
      <c r="C129" s="3" t="s">
        <v>66</v>
      </c>
    </row>
    <row r="130" spans="2:7" x14ac:dyDescent="0.2">
      <c r="B130" s="3" t="s">
        <v>67</v>
      </c>
    </row>
    <row r="131" spans="2:7" x14ac:dyDescent="0.2">
      <c r="C131" s="3" t="s">
        <v>68</v>
      </c>
      <c r="F131">
        <f>0.02*C117*E117</f>
        <v>0.5704619743463053</v>
      </c>
      <c r="G131" s="3" t="s">
        <v>69</v>
      </c>
    </row>
  </sheetData>
  <pageMargins left="0.75" right="0.75" top="1" bottom="1" header="0.5" footer="0.5"/>
  <pageSetup orientation="portrait" horizontalDpi="4294967292" verticalDpi="4294967292" r:id="rId1"/>
  <drawing r:id="rId2"/>
  <legacyDrawing r:id="rId3"/>
  <oleObjects>
    <mc:AlternateContent xmlns:mc="http://schemas.openxmlformats.org/markup-compatibility/2006">
      <mc:Choice Requires="x14">
        <oleObject progId="Equation.3" shapeId="2049" r:id="rId4">
          <objectPr defaultSize="0" autoPict="0" r:id="rId5">
            <anchor moveWithCells="1">
              <from>
                <xdr:col>2</xdr:col>
                <xdr:colOff>104775</xdr:colOff>
                <xdr:row>11</xdr:row>
                <xdr:rowOff>95250</xdr:rowOff>
              </from>
              <to>
                <xdr:col>3</xdr:col>
                <xdr:colOff>371475</xdr:colOff>
                <xdr:row>16</xdr:row>
                <xdr:rowOff>0</xdr:rowOff>
              </to>
            </anchor>
          </objectPr>
        </oleObject>
      </mc:Choice>
      <mc:Fallback>
        <oleObject progId="Equation.3" shapeId="2049" r:id="rId4"/>
      </mc:Fallback>
    </mc:AlternateContent>
    <mc:AlternateContent xmlns:mc="http://schemas.openxmlformats.org/markup-compatibility/2006">
      <mc:Choice Requires="x14">
        <oleObject progId="Equation.3" shapeId="2050" r:id="rId6">
          <objectPr defaultSize="0" autoPict="0" r:id="rId7">
            <anchor moveWithCells="1">
              <from>
                <xdr:col>2</xdr:col>
                <xdr:colOff>95250</xdr:colOff>
                <xdr:row>19</xdr:row>
                <xdr:rowOff>28575</xdr:rowOff>
              </from>
              <to>
                <xdr:col>4</xdr:col>
                <xdr:colOff>533400</xdr:colOff>
                <xdr:row>22</xdr:row>
                <xdr:rowOff>76200</xdr:rowOff>
              </to>
            </anchor>
          </objectPr>
        </oleObject>
      </mc:Choice>
      <mc:Fallback>
        <oleObject progId="Equation.3" shapeId="2050" r:id="rId6"/>
      </mc:Fallback>
    </mc:AlternateContent>
    <mc:AlternateContent xmlns:mc="http://schemas.openxmlformats.org/markup-compatibility/2006">
      <mc:Choice Requires="x14">
        <oleObject progId="Equation.3" shapeId="2051" r:id="rId8">
          <objectPr defaultSize="0" autoPict="0" r:id="rId9">
            <anchor moveWithCells="1">
              <from>
                <xdr:col>2</xdr:col>
                <xdr:colOff>85725</xdr:colOff>
                <xdr:row>2</xdr:row>
                <xdr:rowOff>76200</xdr:rowOff>
              </from>
              <to>
                <xdr:col>5</xdr:col>
                <xdr:colOff>57150</xdr:colOff>
                <xdr:row>5</xdr:row>
                <xdr:rowOff>47625</xdr:rowOff>
              </to>
            </anchor>
          </objectPr>
        </oleObject>
      </mc:Choice>
      <mc:Fallback>
        <oleObject progId="Equation.3" shapeId="2051" r:id="rId8"/>
      </mc:Fallback>
    </mc:AlternateContent>
    <mc:AlternateContent xmlns:mc="http://schemas.openxmlformats.org/markup-compatibility/2006">
      <mc:Choice Requires="x14">
        <oleObject progId="Equation.3" shapeId="2052" r:id="rId10">
          <objectPr defaultSize="0" autoPict="0" r:id="rId11">
            <anchor moveWithCells="1">
              <from>
                <xdr:col>2</xdr:col>
                <xdr:colOff>85725</xdr:colOff>
                <xdr:row>7</xdr:row>
                <xdr:rowOff>57150</xdr:rowOff>
              </from>
              <to>
                <xdr:col>5</xdr:col>
                <xdr:colOff>57150</xdr:colOff>
                <xdr:row>10</xdr:row>
                <xdr:rowOff>28575</xdr:rowOff>
              </to>
            </anchor>
          </objectPr>
        </oleObject>
      </mc:Choice>
      <mc:Fallback>
        <oleObject progId="Equation.3" shapeId="2052" r:id="rId10"/>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enableFormatConditionsCalculation="0"/>
  <dimension ref="A2:P178"/>
  <sheetViews>
    <sheetView tabSelected="1" topLeftCell="A144" workbookViewId="0">
      <selection activeCell="C162" sqref="C162"/>
    </sheetView>
  </sheetViews>
  <sheetFormatPr defaultColWidth="11" defaultRowHeight="12.75" x14ac:dyDescent="0.2"/>
  <cols>
    <col min="2" max="2" width="12.5" customWidth="1"/>
    <col min="4" max="4" width="18.25" customWidth="1"/>
    <col min="8" max="8" width="14" customWidth="1"/>
    <col min="10" max="10" width="13" customWidth="1"/>
  </cols>
  <sheetData>
    <row r="2" spans="1:12" x14ac:dyDescent="0.2">
      <c r="A2" t="s">
        <v>27</v>
      </c>
    </row>
    <row r="4" spans="1:12" x14ac:dyDescent="0.2">
      <c r="A4" t="s">
        <v>2</v>
      </c>
      <c r="C4" s="5" t="s">
        <v>70</v>
      </c>
      <c r="D4" s="5" t="s">
        <v>71</v>
      </c>
    </row>
    <row r="5" spans="1:12" x14ac:dyDescent="0.2">
      <c r="B5" t="s">
        <v>3</v>
      </c>
      <c r="C5" s="5">
        <v>4.4302854481750698E-2</v>
      </c>
      <c r="D5" s="5">
        <v>6.8994231324124064E-2</v>
      </c>
    </row>
    <row r="6" spans="1:12" x14ac:dyDescent="0.2">
      <c r="B6" t="s">
        <v>73</v>
      </c>
      <c r="C6" s="5">
        <v>2.3765366449388557E-2</v>
      </c>
      <c r="D6" s="5">
        <v>5.0321207866918315E-2</v>
      </c>
    </row>
    <row r="7" spans="1:12" x14ac:dyDescent="0.2">
      <c r="B7" t="s">
        <v>74</v>
      </c>
      <c r="C7" s="5">
        <v>0.74646773182352488</v>
      </c>
      <c r="D7" s="5">
        <v>6.329028142796142E-2</v>
      </c>
    </row>
    <row r="8" spans="1:12" x14ac:dyDescent="0.2">
      <c r="B8" t="s">
        <v>72</v>
      </c>
      <c r="C8" s="5">
        <v>-0.13679963125185812</v>
      </c>
      <c r="D8" s="5">
        <v>-1.8257452362718755E-2</v>
      </c>
    </row>
    <row r="9" spans="1:12" x14ac:dyDescent="0.2">
      <c r="C9" s="5"/>
      <c r="D9" s="5"/>
    </row>
    <row r="10" spans="1:12" x14ac:dyDescent="0.2">
      <c r="B10" t="s">
        <v>75</v>
      </c>
      <c r="C10" s="5">
        <f>SQRT((C7+C8)^2+2*C5^2)</f>
        <v>0.61287900819421637</v>
      </c>
      <c r="D10" s="5">
        <f>SQRT((D7+D8)^2+2*D5^2)</f>
        <v>0.10746331283574338</v>
      </c>
    </row>
    <row r="13" spans="1:12" x14ac:dyDescent="0.2">
      <c r="G13" t="s">
        <v>80</v>
      </c>
      <c r="H13">
        <v>2.587171763404823E-3</v>
      </c>
    </row>
    <row r="14" spans="1:12" x14ac:dyDescent="0.2">
      <c r="G14" t="s">
        <v>81</v>
      </c>
      <c r="H14">
        <v>4.2960914703989309E-3</v>
      </c>
      <c r="K14">
        <f>H13+H14</f>
        <v>6.8832632338037538E-3</v>
      </c>
    </row>
    <row r="15" spans="1:12" x14ac:dyDescent="0.2">
      <c r="G15" t="s">
        <v>119</v>
      </c>
      <c r="I15">
        <f>H13+H14</f>
        <v>6.8832632338037538E-3</v>
      </c>
    </row>
    <row r="16" spans="1:12" x14ac:dyDescent="0.2">
      <c r="K16" t="s">
        <v>122</v>
      </c>
      <c r="L16">
        <v>1.408293230846275E-2</v>
      </c>
    </row>
    <row r="17" spans="1:14" x14ac:dyDescent="0.2">
      <c r="A17" t="s">
        <v>9</v>
      </c>
      <c r="H17" t="s">
        <v>14</v>
      </c>
      <c r="I17">
        <f>6.5/2</f>
        <v>3.25</v>
      </c>
    </row>
    <row r="18" spans="1:14" x14ac:dyDescent="0.2">
      <c r="A18" t="s">
        <v>10</v>
      </c>
      <c r="B18" s="5" t="s">
        <v>76</v>
      </c>
      <c r="C18" s="5" t="s">
        <v>77</v>
      </c>
      <c r="E18" s="5" t="s">
        <v>78</v>
      </c>
      <c r="F18" s="5" t="s">
        <v>79</v>
      </c>
      <c r="H18" t="s">
        <v>13</v>
      </c>
      <c r="I18" t="s">
        <v>16</v>
      </c>
    </row>
    <row r="19" spans="1:14" x14ac:dyDescent="0.2">
      <c r="A19">
        <v>0.5</v>
      </c>
      <c r="B19">
        <f>((2*$C$10*EXP(0.5*($C$7+$C$8+$C$10)*A19))/(($C$7+$C$8+$C$10)*(EXP(A19*$C$10)-1)+2*$C$10))^(2*$C$7*$C$6/$C$5^2)</f>
        <v>0.99799372521681873</v>
      </c>
      <c r="C19">
        <f>(2*(EXP(A19*$C$10)-1))/((($C$7+$C$8+$C$10)*(EXP(A19*$C$10)-1))+2*$C$10)</f>
        <v>0.43094894838485098</v>
      </c>
      <c r="E19">
        <f>((2*$D$10*EXP(0.5*($D$7+$D$8+$D$10)*A19))/(($D$7+$D$8+$D$10)*(EXP(A19*$D$10)-1)+2*$D$10))^(2*$D$7*$D$6/$D$5^2)</f>
        <v>0.99960498260926811</v>
      </c>
      <c r="F19">
        <f>(2*(EXP(A19*$D$10)-1))/(($D$7+$D$8+$D$10)*(EXP(A19*$D$10)-1)+2*$D$10)</f>
        <v>0.49431596619239299</v>
      </c>
      <c r="H19">
        <f>I17</f>
        <v>3.25</v>
      </c>
      <c r="I19">
        <f>H19*B19*EXP(-C19*$H$13)*E19*EXP(-F19*$H$14)</f>
        <v>3.2317152883602929</v>
      </c>
      <c r="J19">
        <f>H19/(1+$L$16/2)^(2*A19)</f>
        <v>3.2272752505528439</v>
      </c>
      <c r="K19" t="s">
        <v>30</v>
      </c>
      <c r="L19" t="s">
        <v>31</v>
      </c>
    </row>
    <row r="20" spans="1:14" x14ac:dyDescent="0.2">
      <c r="A20">
        <v>1</v>
      </c>
      <c r="B20">
        <f t="shared" ref="B20:B21" si="0">((2*$C$10*EXP(0.5*($C$7+$C$8+$C$10)*A20))/(($C$7+$C$8+$C$10)*(EXP(A20*$C$10)-1)+2*$C$10))^(2*$C$7*$C$6/$C$5^2)</f>
        <v>0.99271574560869369</v>
      </c>
      <c r="C20">
        <f t="shared" ref="C20:C21" si="1">(2*(EXP(A20*$C$10)-1))/((($C$7+$C$8+$C$10)*(EXP(A20*$C$10)-1))+2*$C$10)</f>
        <v>0.74853574235734432</v>
      </c>
      <c r="E20">
        <f t="shared" ref="E20:E21" si="2">((2*$D$10*EXP(0.5*($D$7+$D$8+$D$10)*A20))/(($D$7+$D$8+$D$10)*(EXP(A20*$D$10)-1)+2*$D$10))^(2*$D$7*$D$6/$D$5^2)</f>
        <v>0.99843305329849574</v>
      </c>
      <c r="F20">
        <f t="shared" ref="F20:F21" si="3">(2*(EXP(A20*$D$10)-1))/(($D$7+$D$8+$D$10)*(EXP(A20*$D$10)-1)+2*$D$10)</f>
        <v>0.97706000579843111</v>
      </c>
      <c r="H20">
        <f>I17</f>
        <v>3.25</v>
      </c>
      <c r="I20">
        <f t="shared" ref="I20:I21" si="4">H20*B20*EXP(-C20*$H$13)*E20*EXP(-F20*$H$14)</f>
        <v>3.2015714803990889</v>
      </c>
      <c r="J20">
        <f t="shared" ref="J20:J21" si="5">H20/(1+$L$16/2)^(2*A20)</f>
        <v>3.2047093977941294</v>
      </c>
      <c r="L20" t="s">
        <v>32</v>
      </c>
    </row>
    <row r="21" spans="1:14" x14ac:dyDescent="0.2">
      <c r="A21">
        <v>1.5</v>
      </c>
      <c r="B21">
        <f t="shared" si="0"/>
        <v>0.98507164388053792</v>
      </c>
      <c r="C21">
        <f t="shared" si="1"/>
        <v>0.98250650004103302</v>
      </c>
      <c r="E21">
        <f t="shared" si="2"/>
        <v>0.99650552820336735</v>
      </c>
      <c r="F21">
        <f t="shared" si="3"/>
        <v>1.4479617003474243</v>
      </c>
      <c r="H21">
        <f>100+I17</f>
        <v>103.25</v>
      </c>
      <c r="I21">
        <f t="shared" si="4"/>
        <v>100.46900234857169</v>
      </c>
      <c r="J21">
        <f t="shared" si="5"/>
        <v>101.09926535165295</v>
      </c>
    </row>
    <row r="23" spans="1:14" x14ac:dyDescent="0.2">
      <c r="F23">
        <f>SUM(I19:I21)</f>
        <v>106.90228911733108</v>
      </c>
      <c r="G23" t="s">
        <v>118</v>
      </c>
      <c r="J23">
        <f>SUM(J19:J21)</f>
        <v>107.53124999999991</v>
      </c>
      <c r="L23">
        <f>(E24-J23)^2*10000</f>
        <v>7.2701421025168448E-23</v>
      </c>
    </row>
    <row r="24" spans="1:14" x14ac:dyDescent="0.2">
      <c r="A24" t="s">
        <v>35</v>
      </c>
      <c r="C24" t="s">
        <v>36</v>
      </c>
      <c r="E24">
        <f>'Bloomberg Prices'!D3</f>
        <v>107.53125</v>
      </c>
      <c r="F24">
        <f>(F23-E24)^2*10000</f>
        <v>3955.9179192766742</v>
      </c>
    </row>
    <row r="25" spans="1:14" x14ac:dyDescent="0.2">
      <c r="E25" s="4" t="s">
        <v>105</v>
      </c>
    </row>
    <row r="26" spans="1:14" x14ac:dyDescent="0.2">
      <c r="B26" s="1" t="s">
        <v>83</v>
      </c>
    </row>
    <row r="28" spans="1:14" x14ac:dyDescent="0.2">
      <c r="A28" t="s">
        <v>37</v>
      </c>
    </row>
    <row r="29" spans="1:14" x14ac:dyDescent="0.2">
      <c r="B29" t="s">
        <v>38</v>
      </c>
    </row>
    <row r="31" spans="1:14" x14ac:dyDescent="0.2">
      <c r="A31" t="s">
        <v>39</v>
      </c>
    </row>
    <row r="32" spans="1:14" x14ac:dyDescent="0.2">
      <c r="A32" t="s">
        <v>9</v>
      </c>
      <c r="H32" s="6" t="s">
        <v>14</v>
      </c>
      <c r="I32" s="7">
        <f>5/2</f>
        <v>2.5</v>
      </c>
      <c r="K32" t="s">
        <v>82</v>
      </c>
      <c r="M32" t="s">
        <v>122</v>
      </c>
      <c r="N32">
        <v>3.6532590033011771E-2</v>
      </c>
    </row>
    <row r="33" spans="1:13" x14ac:dyDescent="0.2">
      <c r="A33" t="s">
        <v>10</v>
      </c>
      <c r="B33" s="5" t="s">
        <v>76</v>
      </c>
      <c r="C33" s="5" t="s">
        <v>77</v>
      </c>
      <c r="D33" s="5"/>
      <c r="E33" s="5" t="s">
        <v>78</v>
      </c>
      <c r="F33" s="5" t="s">
        <v>79</v>
      </c>
      <c r="H33" s="5" t="s">
        <v>13</v>
      </c>
      <c r="I33" t="s">
        <v>16</v>
      </c>
      <c r="K33" t="s">
        <v>42</v>
      </c>
    </row>
    <row r="34" spans="1:13" x14ac:dyDescent="0.2">
      <c r="A34">
        <v>0.5</v>
      </c>
      <c r="B34">
        <f>((2*$C$10*EXP(0.5*($C$7+$C$8+$C$10)*A34))/(($C$7+$C$8+$C$10)*(EXP(A34*$C$10)-1)+2*$C$10))^(2*$C$7*$C$6/$C$5^2)</f>
        <v>0.99799372521681873</v>
      </c>
      <c r="C34">
        <f>(2*(EXP(A34*$C$10)-1))/((($C$7+$C$8+$C$10)*(EXP(A34*$C$10)-1))+2*$C$10)</f>
        <v>0.43094894838485098</v>
      </c>
      <c r="E34">
        <f>((2*$D$10*EXP(0.5*($D$7+$D$8+$D$10)*A34))/(($D$7+$D$8+$D$10)*(EXP(A34*$D$10)-1)+2*$D$10))^(2*$D$7*$D$6/$D$5^2)</f>
        <v>0.99960498260926811</v>
      </c>
      <c r="F34">
        <f>(2*(EXP(A34*$D$10)-1))/(($D$7+$D$8+$D$10)*(EXP(A34*$D$10)-1)+2*$D$10)</f>
        <v>0.49431596619239299</v>
      </c>
      <c r="H34" s="5">
        <f>$I$32</f>
        <v>2.5</v>
      </c>
      <c r="I34">
        <f>H34*B34*EXP(-C34*$H$13)*E34*EXP(-F34*$H$14)</f>
        <v>2.485934837200225</v>
      </c>
      <c r="K34">
        <f>B34*EXP(-C34*$H$13)*E34*EXP(-F34*$H$14)</f>
        <v>0.99437393488008996</v>
      </c>
      <c r="M34">
        <f>H34/(1+$N$32/2)^(A34*2)</f>
        <v>2.4551534429011772</v>
      </c>
    </row>
    <row r="35" spans="1:13" x14ac:dyDescent="0.2">
      <c r="A35">
        <v>1</v>
      </c>
      <c r="B35">
        <f t="shared" ref="B35:B48" si="6">((2*$C$10*EXP(0.5*($C$7+$C$8+$C$10)*A35))/(($C$7+$C$8+$C$10)*(EXP(A35*$C$10)-1)+2*$C$10))^(2*$C$7*$C$6/$C$5^2)</f>
        <v>0.99271574560869369</v>
      </c>
      <c r="C35">
        <f t="shared" ref="C35:C48" si="7">(2*(EXP(A35*$C$10)-1))/((($C$7+$C$8+$C$10)*(EXP(A35*$C$10)-1))+2*$C$10)</f>
        <v>0.74853574235734432</v>
      </c>
      <c r="E35">
        <f>((2*$D$10*EXP(0.5*($D$7+$D$8+$D$10)*A35))/(($D$7+$D$8+$D$10)*(EXP(A35*$D$10)-1)+2*$D$10))^(2*$D$7*$D$6/$D$5^2)</f>
        <v>0.99843305329849574</v>
      </c>
      <c r="F35">
        <f t="shared" ref="F35:F47" si="8">(2*(EXP(A35*$D$10)-1))/(($D$7+$D$8+$D$10)*(EXP(A35*$D$10)-1)+2*$D$10)</f>
        <v>0.97706000579843111</v>
      </c>
      <c r="H35" s="5">
        <f t="shared" ref="H35:H47" si="9">$I$32</f>
        <v>2.5</v>
      </c>
      <c r="I35">
        <f t="shared" ref="I35:I47" si="10">H35*B35*EXP(-C35*$H$13)*E35*EXP(-F35*$H$14)</f>
        <v>2.4627472926146834</v>
      </c>
      <c r="K35">
        <f t="shared" ref="K35:K48" si="11">B35*EXP(-C35*$H$13)*E35*EXP(-F35*$H$14)</f>
        <v>0.98509891704587338</v>
      </c>
      <c r="M35">
        <f t="shared" ref="M35:M48" si="12">H35/(1+$N$32/2)^(A35*2)</f>
        <v>2.4111113712758012</v>
      </c>
    </row>
    <row r="36" spans="1:13" x14ac:dyDescent="0.2">
      <c r="A36">
        <v>1.5</v>
      </c>
      <c r="B36">
        <f t="shared" si="6"/>
        <v>0.98507164388053792</v>
      </c>
      <c r="C36">
        <f t="shared" si="7"/>
        <v>0.98250650004103302</v>
      </c>
      <c r="E36">
        <f t="shared" ref="E36:E47" si="13">((2*$D$10*EXP(0.5*($D$7+$D$8+$D$10)*A36))/(($D$7+$D$8+$D$10)*(EXP(A36*$D$10)-1)+2*$D$10))^(2*$D$7*$D$6/$D$5^2)</f>
        <v>0.99650552820336735</v>
      </c>
      <c r="F36">
        <f t="shared" si="8"/>
        <v>1.4479617003474243</v>
      </c>
      <c r="H36" s="5">
        <f t="shared" si="9"/>
        <v>2.5</v>
      </c>
      <c r="I36">
        <f t="shared" si="10"/>
        <v>2.4326634951228017</v>
      </c>
      <c r="K36">
        <f t="shared" si="11"/>
        <v>0.97306539804912062</v>
      </c>
      <c r="M36">
        <f t="shared" si="12"/>
        <v>2.3678593537623849</v>
      </c>
    </row>
    <row r="37" spans="1:13" x14ac:dyDescent="0.2">
      <c r="A37">
        <v>2</v>
      </c>
      <c r="B37">
        <f t="shared" si="6"/>
        <v>0.97574015276861836</v>
      </c>
      <c r="C37">
        <f t="shared" si="7"/>
        <v>1.1548359303341262</v>
      </c>
      <c r="E37">
        <f t="shared" si="13"/>
        <v>0.99384571445548553</v>
      </c>
      <c r="F37">
        <f t="shared" si="8"/>
        <v>1.9067970506897478</v>
      </c>
      <c r="H37" s="5">
        <f t="shared" si="9"/>
        <v>2.5</v>
      </c>
      <c r="I37">
        <f t="shared" si="10"/>
        <v>2.3973858924822347</v>
      </c>
      <c r="K37">
        <f t="shared" si="11"/>
        <v>0.95895435699289366</v>
      </c>
      <c r="M37">
        <f t="shared" si="12"/>
        <v>2.3253832178781897</v>
      </c>
    </row>
    <row r="38" spans="1:13" x14ac:dyDescent="0.2">
      <c r="A38">
        <v>2.5</v>
      </c>
      <c r="B38">
        <f t="shared" si="6"/>
        <v>0.96522513973301238</v>
      </c>
      <c r="C38">
        <f t="shared" si="7"/>
        <v>1.2817420973048068</v>
      </c>
      <c r="E38">
        <f t="shared" si="13"/>
        <v>0.99047867641491705</v>
      </c>
      <c r="F38">
        <f t="shared" si="8"/>
        <v>2.3533872990604943</v>
      </c>
      <c r="H38" s="5">
        <f t="shared" si="9"/>
        <v>2.5</v>
      </c>
      <c r="I38">
        <f t="shared" si="10"/>
        <v>2.3582113690049495</v>
      </c>
      <c r="K38">
        <f t="shared" si="11"/>
        <v>0.94328454760197977</v>
      </c>
      <c r="M38">
        <f t="shared" si="12"/>
        <v>2.2836690453753024</v>
      </c>
    </row>
    <row r="39" spans="1:13" x14ac:dyDescent="0.2">
      <c r="A39">
        <v>3</v>
      </c>
      <c r="B39">
        <f t="shared" si="6"/>
        <v>0.95389799127635411</v>
      </c>
      <c r="C39">
        <f t="shared" si="7"/>
        <v>1.3751860211518367</v>
      </c>
      <c r="E39">
        <f t="shared" si="13"/>
        <v>0.98643100112975901</v>
      </c>
      <c r="F39">
        <f t="shared" si="8"/>
        <v>2.7875974775611669</v>
      </c>
      <c r="H39" s="5">
        <f t="shared" si="9"/>
        <v>2.5</v>
      </c>
      <c r="I39">
        <f t="shared" si="10"/>
        <v>2.3161276528033539</v>
      </c>
      <c r="K39">
        <f t="shared" si="11"/>
        <v>0.92645106112134146</v>
      </c>
      <c r="M39">
        <f t="shared" si="12"/>
        <v>2.2427031676800073</v>
      </c>
    </row>
    <row r="40" spans="1:13" x14ac:dyDescent="0.2">
      <c r="A40">
        <v>3.5</v>
      </c>
      <c r="B40">
        <f t="shared" si="6"/>
        <v>0.94203093438850494</v>
      </c>
      <c r="C40">
        <f t="shared" si="7"/>
        <v>1.4439845190186049</v>
      </c>
      <c r="E40">
        <f t="shared" si="13"/>
        <v>0.98173056579783691</v>
      </c>
      <c r="F40">
        <f t="shared" si="8"/>
        <v>3.209334717812121</v>
      </c>
      <c r="H40" s="5">
        <f t="shared" si="9"/>
        <v>2.5</v>
      </c>
      <c r="I40">
        <f t="shared" si="10"/>
        <v>2.271889248273181</v>
      </c>
      <c r="K40">
        <f t="shared" si="11"/>
        <v>0.90875569930927225</v>
      </c>
      <c r="M40">
        <f t="shared" si="12"/>
        <v>2.2024721614139784</v>
      </c>
    </row>
    <row r="41" spans="1:13" x14ac:dyDescent="0.2">
      <c r="A41">
        <v>4</v>
      </c>
      <c r="B41">
        <f t="shared" si="6"/>
        <v>0.92982261553681478</v>
      </c>
      <c r="C41">
        <f t="shared" si="7"/>
        <v>1.4946342406681743</v>
      </c>
      <c r="E41">
        <f t="shared" si="13"/>
        <v>0.97640630974306986</v>
      </c>
      <c r="F41">
        <f t="shared" si="8"/>
        <v>3.6185463570001297</v>
      </c>
      <c r="H41" s="5">
        <f t="shared" si="9"/>
        <v>2.5</v>
      </c>
      <c r="I41">
        <f t="shared" si="10"/>
        <v>2.226075845866867</v>
      </c>
      <c r="K41">
        <f t="shared" si="11"/>
        <v>0.89043033834674667</v>
      </c>
      <c r="M41">
        <f t="shared" si="12"/>
        <v>2.16296284399581</v>
      </c>
    </row>
    <row r="42" spans="1:13" x14ac:dyDescent="0.2">
      <c r="A42">
        <v>4.5</v>
      </c>
      <c r="B42">
        <f t="shared" si="6"/>
        <v>0.91741742028147633</v>
      </c>
      <c r="C42">
        <f t="shared" si="7"/>
        <v>1.5319208801756166</v>
      </c>
      <c r="E42">
        <f t="shared" si="13"/>
        <v>0.97048801313370125</v>
      </c>
      <c r="F42">
        <f t="shared" si="8"/>
        <v>4.0152178753506931</v>
      </c>
      <c r="H42" s="5">
        <f t="shared" si="9"/>
        <v>2.5</v>
      </c>
      <c r="I42">
        <f t="shared" si="10"/>
        <v>2.1791365279462243</v>
      </c>
      <c r="K42">
        <f t="shared" si="11"/>
        <v>0.87165461117848964</v>
      </c>
      <c r="M42">
        <f t="shared" si="12"/>
        <v>2.1241622693214541</v>
      </c>
    </row>
    <row r="43" spans="1:13" x14ac:dyDescent="0.2">
      <c r="A43">
        <v>5</v>
      </c>
      <c r="B43">
        <f t="shared" si="6"/>
        <v>0.9049199012758895</v>
      </c>
      <c r="C43">
        <f t="shared" si="7"/>
        <v>1.5593690431419074</v>
      </c>
      <c r="E43">
        <f t="shared" si="13"/>
        <v>0.96400608437067148</v>
      </c>
      <c r="F43">
        <f t="shared" si="8"/>
        <v>4.3993706992675561</v>
      </c>
      <c r="H43" s="5">
        <f t="shared" si="9"/>
        <v>2.5</v>
      </c>
      <c r="I43">
        <f t="shared" si="10"/>
        <v>2.1314228438190819</v>
      </c>
      <c r="K43">
        <f t="shared" si="11"/>
        <v>0.85256913752763286</v>
      </c>
      <c r="M43">
        <f t="shared" si="12"/>
        <v>2.086057723522138</v>
      </c>
    </row>
    <row r="44" spans="1:13" x14ac:dyDescent="0.2">
      <c r="A44">
        <v>5.5</v>
      </c>
      <c r="B44">
        <f t="shared" si="6"/>
        <v>0.8924054673177767</v>
      </c>
      <c r="C44">
        <f t="shared" si="7"/>
        <v>1.5795741634573974</v>
      </c>
      <c r="E44">
        <f t="shared" si="13"/>
        <v>0.95699135777015132</v>
      </c>
      <c r="F44">
        <f t="shared" si="8"/>
        <v>4.7710599030834997</v>
      </c>
      <c r="H44" s="5">
        <f t="shared" si="9"/>
        <v>2.5</v>
      </c>
      <c r="I44">
        <f t="shared" si="10"/>
        <v>2.0832133562520161</v>
      </c>
      <c r="K44">
        <f t="shared" si="11"/>
        <v>0.83328534250080633</v>
      </c>
      <c r="M44">
        <f t="shared" si="12"/>
        <v>2.0486367207983873</v>
      </c>
    </row>
    <row r="45" spans="1:13" x14ac:dyDescent="0.2">
      <c r="A45">
        <v>6</v>
      </c>
      <c r="B45">
        <f t="shared" si="6"/>
        <v>0.87992825714207723</v>
      </c>
      <c r="C45">
        <f t="shared" si="7"/>
        <v>1.5944472413141408</v>
      </c>
      <c r="E45">
        <f t="shared" si="13"/>
        <v>0.94947490286226832</v>
      </c>
      <c r="F45">
        <f t="shared" si="8"/>
        <v>5.1303718406412857</v>
      </c>
      <c r="H45" s="5">
        <f t="shared" si="9"/>
        <v>2.5</v>
      </c>
      <c r="I45">
        <f t="shared" si="10"/>
        <v>2.034731754936375</v>
      </c>
      <c r="K45">
        <f t="shared" si="11"/>
        <v>0.8138927019745501</v>
      </c>
      <c r="M45">
        <f t="shared" si="12"/>
        <v>2.0118869993287749</v>
      </c>
    </row>
    <row r="46" spans="1:13" x14ac:dyDescent="0.2">
      <c r="A46">
        <v>6.5</v>
      </c>
      <c r="B46">
        <f t="shared" si="6"/>
        <v>0.86752691549140104</v>
      </c>
      <c r="C46">
        <f t="shared" si="7"/>
        <v>1.6053952169755135</v>
      </c>
      <c r="E46">
        <f t="shared" si="13"/>
        <v>0.94148784633477056</v>
      </c>
      <c r="F46">
        <f t="shared" si="8"/>
        <v>5.4774217358568382</v>
      </c>
      <c r="H46" s="5">
        <f t="shared" si="9"/>
        <v>2.5</v>
      </c>
      <c r="I46">
        <f t="shared" si="10"/>
        <v>1.9861601720718947</v>
      </c>
      <c r="K46">
        <f t="shared" si="11"/>
        <v>0.79446406882875809</v>
      </c>
      <c r="M46">
        <f t="shared" si="12"/>
        <v>1.9757965172520642</v>
      </c>
    </row>
    <row r="47" spans="1:13" x14ac:dyDescent="0.2">
      <c r="A47">
        <v>7</v>
      </c>
      <c r="B47">
        <f t="shared" si="6"/>
        <v>0.85522881762316472</v>
      </c>
      <c r="C47">
        <f t="shared" si="7"/>
        <v>1.6134538625525392</v>
      </c>
      <c r="E47">
        <f t="shared" si="13"/>
        <v>0.93306120737122045</v>
      </c>
      <c r="F47">
        <f t="shared" si="8"/>
        <v>5.8123512590911481</v>
      </c>
      <c r="H47" s="5">
        <f t="shared" si="9"/>
        <v>2.5</v>
      </c>
      <c r="I47">
        <f t="shared" si="10"/>
        <v>1.9376489495985549</v>
      </c>
      <c r="K47">
        <f t="shared" si="11"/>
        <v>0.77505957983942209</v>
      </c>
      <c r="M47">
        <f t="shared" si="12"/>
        <v>1.940353448721424</v>
      </c>
    </row>
    <row r="48" spans="1:13" x14ac:dyDescent="0.2">
      <c r="A48">
        <v>7.5</v>
      </c>
      <c r="B48">
        <f t="shared" si="6"/>
        <v>0.84305315226139288</v>
      </c>
      <c r="C48">
        <f t="shared" si="7"/>
        <v>1.6193856666485091</v>
      </c>
      <c r="E48">
        <f>((2*$D$10*EXP(0.5*($D$7+$D$8+$D$10)*A48))/(($D$7+$D$8+$D$10)*(EXP(A48*$D$10)-1)+2*$D$10))^(2*$D$7*$D$6/$D$5^2)</f>
        <v>0.92422574687261283</v>
      </c>
      <c r="F48">
        <f>(2*(EXP(A48*$D$10)-1))/(($D$7+$D$8+$D$10)*(EXP(A48*$D$10)-1)+2*$D$10)</f>
        <v>6.1353261136515815</v>
      </c>
      <c r="H48" s="5">
        <f>100+I32</f>
        <v>102.5</v>
      </c>
      <c r="I48">
        <f>H48*B48*EXP(-C48*$H$13)*E48*EXP(-F48*$H$14)</f>
        <v>77.462275762006598</v>
      </c>
      <c r="K48">
        <f t="shared" si="11"/>
        <v>0.75572951962933277</v>
      </c>
      <c r="M48">
        <f t="shared" si="12"/>
        <v>78.127393381206673</v>
      </c>
    </row>
    <row r="50" spans="1:14" x14ac:dyDescent="0.2">
      <c r="I50">
        <f>SUM(I34:I48)</f>
        <v>108.76562499999903</v>
      </c>
      <c r="M50">
        <f>SUM(M34:M48)</f>
        <v>108.76560166443358</v>
      </c>
    </row>
    <row r="51" spans="1:14" x14ac:dyDescent="0.2">
      <c r="G51" t="s">
        <v>43</v>
      </c>
      <c r="I51">
        <f>'Bloomberg Prices'!I3</f>
        <v>108.765625</v>
      </c>
      <c r="J51">
        <f>(I50-I51)^2*10000</f>
        <v>9.338093633899414E-21</v>
      </c>
      <c r="M51">
        <f>(M50-I51)^2*10000</f>
        <v>5.4454866037445297E-6</v>
      </c>
    </row>
    <row r="52" spans="1:14" x14ac:dyDescent="0.2">
      <c r="K52">
        <f>F24+J51</f>
        <v>3955.9179192766742</v>
      </c>
    </row>
    <row r="55" spans="1:14" x14ac:dyDescent="0.2">
      <c r="A55" t="s">
        <v>84</v>
      </c>
    </row>
    <row r="56" spans="1:14" x14ac:dyDescent="0.2">
      <c r="A56" t="s">
        <v>9</v>
      </c>
      <c r="H56" s="6" t="s">
        <v>14</v>
      </c>
      <c r="I56" s="7">
        <f>7.125/2</f>
        <v>3.5625</v>
      </c>
      <c r="K56" t="s">
        <v>82</v>
      </c>
      <c r="M56" t="s">
        <v>122</v>
      </c>
      <c r="N56">
        <v>4.8642126939343236E-2</v>
      </c>
    </row>
    <row r="57" spans="1:14" x14ac:dyDescent="0.2">
      <c r="A57" t="s">
        <v>10</v>
      </c>
      <c r="B57" s="5" t="s">
        <v>76</v>
      </c>
      <c r="C57" s="5" t="s">
        <v>77</v>
      </c>
      <c r="D57" s="5"/>
      <c r="E57" s="5" t="s">
        <v>78</v>
      </c>
      <c r="F57" s="5" t="s">
        <v>79</v>
      </c>
      <c r="H57" s="5" t="s">
        <v>13</v>
      </c>
      <c r="I57" t="s">
        <v>16</v>
      </c>
      <c r="K57" t="s">
        <v>42</v>
      </c>
    </row>
    <row r="58" spans="1:14" x14ac:dyDescent="0.2">
      <c r="A58">
        <v>0.5</v>
      </c>
      <c r="B58">
        <f>((2*$C$10*EXP(0.5*($C$7+$C$8+$C$10)*A58))/(($C$7+$C$8+$C$10)*(EXP(A58*$C$10)-1)+2*$C$10))^(2*$C$7*$C$6/$C$5^2)</f>
        <v>0.99799372521681873</v>
      </c>
      <c r="C58">
        <f>(2*(EXP(A58*$C$10)-1))/((($C$7+$C$8+$C$10)*(EXP(A58*$C$10)-1))+2*$C$10)</f>
        <v>0.43094894838485098</v>
      </c>
      <c r="E58">
        <f>((2*$D$10*EXP(0.5*($D$7+$D$8+$D$10)*A58))/(($D$7+$D$8+$D$10)*(EXP(A58*$D$10)-1)+2*$D$10))^(2*$D$7*$D$6/$D$5^2)</f>
        <v>0.99960498260926811</v>
      </c>
      <c r="F58">
        <f>(2*(EXP(A58*$D$10)-1))/(($D$7+$D$8+$D$10)*(EXP(A58*$D$10)-1)+2*$D$10)</f>
        <v>0.49431596619239299</v>
      </c>
      <c r="H58" s="5">
        <f>$I$56</f>
        <v>3.5625</v>
      </c>
      <c r="I58">
        <f>H58*B58*EXP(-C58*$H$13)*E58*EXP(-F58*$H$14)</f>
        <v>3.5424571430103207</v>
      </c>
      <c r="K58">
        <f>B58*EXP(-C58*$H$13)*E58*EXP(-F58*$H$14)</f>
        <v>0.99437393488008996</v>
      </c>
      <c r="M58">
        <f>H58/(1+$N$56/2)^(2*A58)</f>
        <v>3.4779134463297892</v>
      </c>
    </row>
    <row r="59" spans="1:14" x14ac:dyDescent="0.2">
      <c r="A59">
        <v>1</v>
      </c>
      <c r="B59">
        <f t="shared" ref="B59:B95" si="14">((2*$C$10*EXP(0.5*($C$7+$C$8+$C$10)*A59))/(($C$7+$C$8+$C$10)*(EXP(A59*$C$10)-1)+2*$C$10))^(2*$C$7*$C$6/$C$5^2)</f>
        <v>0.99271574560869369</v>
      </c>
      <c r="C59">
        <f t="shared" ref="C59:C72" si="15">(2*(EXP(A59*$C$10)-1))/((($C$7+$C$8+$C$10)*(EXP(A59*$C$10)-1))+2*$C$10)</f>
        <v>0.74853574235734432</v>
      </c>
      <c r="E59">
        <f>((2*$D$10*EXP(0.5*($D$7+$D$8+$D$10)*A59))/(($D$7+$D$8+$D$10)*(EXP(A59*$D$10)-1)+2*$D$10))^(2*$D$7*$D$6/$D$5^2)</f>
        <v>0.99843305329849574</v>
      </c>
      <c r="F59">
        <f t="shared" ref="F59:F71" si="16">(2*(EXP(A59*$D$10)-1))/(($D$7+$D$8+$D$10)*(EXP(A59*$D$10)-1)+2*$D$10)</f>
        <v>0.97706000579843111</v>
      </c>
      <c r="H59" s="5">
        <f t="shared" ref="H59:H94" si="17">$I$56</f>
        <v>3.5625</v>
      </c>
      <c r="I59">
        <f t="shared" ref="I59:I72" si="18">H59*B59*EXP(-C59*$H$13)*E59*EXP(-F59*$H$14)</f>
        <v>3.5094148919759238</v>
      </c>
      <c r="K59">
        <f t="shared" ref="K59:K72" si="19">B59*EXP(-C59*$H$13)*E59*EXP(-F59*$H$14)</f>
        <v>0.98509891704587338</v>
      </c>
      <c r="M59">
        <f t="shared" ref="M59:M95" si="20">H59/(1+$N$56/2)^(2*A59)</f>
        <v>3.3953352814488564</v>
      </c>
    </row>
    <row r="60" spans="1:14" x14ac:dyDescent="0.2">
      <c r="A60">
        <v>1.5</v>
      </c>
      <c r="B60">
        <f t="shared" si="14"/>
        <v>0.98507164388053792</v>
      </c>
      <c r="C60">
        <f t="shared" si="15"/>
        <v>0.98250650004103302</v>
      </c>
      <c r="E60">
        <f t="shared" ref="E60:E71" si="21">((2*$D$10*EXP(0.5*($D$7+$D$8+$D$10)*A60))/(($D$7+$D$8+$D$10)*(EXP(A60*$D$10)-1)+2*$D$10))^(2*$D$7*$D$6/$D$5^2)</f>
        <v>0.99650552820336735</v>
      </c>
      <c r="F60">
        <f t="shared" si="16"/>
        <v>1.4479617003474243</v>
      </c>
      <c r="H60" s="5">
        <f t="shared" si="17"/>
        <v>3.5625</v>
      </c>
      <c r="I60">
        <f t="shared" si="18"/>
        <v>3.4665454805499918</v>
      </c>
      <c r="K60">
        <f t="shared" si="19"/>
        <v>0.97306539804912062</v>
      </c>
      <c r="M60">
        <f t="shared" si="20"/>
        <v>3.3147178189891697</v>
      </c>
    </row>
    <row r="61" spans="1:14" x14ac:dyDescent="0.2">
      <c r="A61">
        <v>2</v>
      </c>
      <c r="B61">
        <f t="shared" si="14"/>
        <v>0.97574015276861836</v>
      </c>
      <c r="C61">
        <f t="shared" si="15"/>
        <v>1.1548359303341262</v>
      </c>
      <c r="E61">
        <f t="shared" si="21"/>
        <v>0.99384571445548553</v>
      </c>
      <c r="F61">
        <f t="shared" si="16"/>
        <v>1.9067970506897478</v>
      </c>
      <c r="H61" s="5">
        <f t="shared" si="17"/>
        <v>3.5625</v>
      </c>
      <c r="I61">
        <f t="shared" si="18"/>
        <v>3.4162748967871837</v>
      </c>
      <c r="K61">
        <f t="shared" si="19"/>
        <v>0.95895435699289366</v>
      </c>
      <c r="M61">
        <f t="shared" si="20"/>
        <v>3.2360145048284594</v>
      </c>
    </row>
    <row r="62" spans="1:14" x14ac:dyDescent="0.2">
      <c r="A62">
        <v>2.5</v>
      </c>
      <c r="B62">
        <f t="shared" si="14"/>
        <v>0.96522513973301238</v>
      </c>
      <c r="C62">
        <f t="shared" si="15"/>
        <v>1.2817420973048068</v>
      </c>
      <c r="E62">
        <f t="shared" si="21"/>
        <v>0.99047867641491705</v>
      </c>
      <c r="F62">
        <f t="shared" si="16"/>
        <v>2.3533872990604943</v>
      </c>
      <c r="H62" s="5">
        <f t="shared" si="17"/>
        <v>3.5625</v>
      </c>
      <c r="I62">
        <f t="shared" si="18"/>
        <v>3.3604512008320522</v>
      </c>
      <c r="K62">
        <f t="shared" si="19"/>
        <v>0.94328454760197977</v>
      </c>
      <c r="M62">
        <f t="shared" si="20"/>
        <v>3.1591798902066337</v>
      </c>
    </row>
    <row r="63" spans="1:14" x14ac:dyDescent="0.2">
      <c r="A63">
        <v>3</v>
      </c>
      <c r="B63">
        <f t="shared" si="14"/>
        <v>0.95389799127635411</v>
      </c>
      <c r="C63">
        <f t="shared" si="15"/>
        <v>1.3751860211518367</v>
      </c>
      <c r="E63">
        <f t="shared" si="21"/>
        <v>0.98643100112975901</v>
      </c>
      <c r="F63">
        <f t="shared" si="16"/>
        <v>2.7875974775611669</v>
      </c>
      <c r="H63" s="5">
        <f t="shared" si="17"/>
        <v>3.5625</v>
      </c>
      <c r="I63">
        <f t="shared" si="18"/>
        <v>3.3004819052447787</v>
      </c>
      <c r="K63">
        <f t="shared" si="19"/>
        <v>0.92645106112134146</v>
      </c>
      <c r="M63">
        <f t="shared" si="20"/>
        <v>3.0841696054805103</v>
      </c>
    </row>
    <row r="64" spans="1:14" x14ac:dyDescent="0.2">
      <c r="A64">
        <v>3.5</v>
      </c>
      <c r="B64">
        <f t="shared" si="14"/>
        <v>0.94203093438850494</v>
      </c>
      <c r="C64">
        <f t="shared" si="15"/>
        <v>1.4439845190186049</v>
      </c>
      <c r="E64">
        <f t="shared" si="21"/>
        <v>0.98173056579783691</v>
      </c>
      <c r="F64">
        <f t="shared" si="16"/>
        <v>3.209334717812121</v>
      </c>
      <c r="H64" s="5">
        <f t="shared" si="17"/>
        <v>3.5625</v>
      </c>
      <c r="I64">
        <f t="shared" si="18"/>
        <v>3.2374421787892822</v>
      </c>
      <c r="K64">
        <f t="shared" si="19"/>
        <v>0.90875569930927225</v>
      </c>
      <c r="M64">
        <f t="shared" si="20"/>
        <v>3.0109403345017003</v>
      </c>
    </row>
    <row r="65" spans="1:13" x14ac:dyDescent="0.2">
      <c r="A65">
        <v>4</v>
      </c>
      <c r="B65">
        <f t="shared" si="14"/>
        <v>0.92982261553681478</v>
      </c>
      <c r="C65">
        <f t="shared" si="15"/>
        <v>1.4946342406681743</v>
      </c>
      <c r="E65">
        <f t="shared" si="21"/>
        <v>0.97640630974306986</v>
      </c>
      <c r="F65">
        <f t="shared" si="16"/>
        <v>3.6185463570001297</v>
      </c>
      <c r="H65" s="5">
        <f t="shared" si="17"/>
        <v>3.5625</v>
      </c>
      <c r="I65">
        <f t="shared" si="18"/>
        <v>3.1721580803602847</v>
      </c>
      <c r="K65">
        <f t="shared" si="19"/>
        <v>0.89043033834674667</v>
      </c>
      <c r="M65">
        <f t="shared" si="20"/>
        <v>2.9394497896028571</v>
      </c>
    </row>
    <row r="66" spans="1:13" x14ac:dyDescent="0.2">
      <c r="A66">
        <v>4.5</v>
      </c>
      <c r="B66">
        <f t="shared" si="14"/>
        <v>0.91741742028147633</v>
      </c>
      <c r="C66">
        <f t="shared" si="15"/>
        <v>1.5319208801756166</v>
      </c>
      <c r="E66">
        <f t="shared" si="21"/>
        <v>0.97048801313370125</v>
      </c>
      <c r="F66">
        <f t="shared" si="16"/>
        <v>4.0152178753506931</v>
      </c>
      <c r="H66" s="5">
        <f t="shared" si="17"/>
        <v>3.5625</v>
      </c>
      <c r="I66">
        <f t="shared" si="18"/>
        <v>3.1052695523233691</v>
      </c>
      <c r="K66">
        <f t="shared" si="19"/>
        <v>0.87165461117848964</v>
      </c>
      <c r="M66">
        <f t="shared" si="20"/>
        <v>2.8696566871778373</v>
      </c>
    </row>
    <row r="67" spans="1:13" x14ac:dyDescent="0.2">
      <c r="A67">
        <v>5</v>
      </c>
      <c r="B67">
        <f t="shared" si="14"/>
        <v>0.9049199012758895</v>
      </c>
      <c r="C67">
        <f t="shared" si="15"/>
        <v>1.5593690431419074</v>
      </c>
      <c r="E67">
        <f t="shared" si="21"/>
        <v>0.96400608437067148</v>
      </c>
      <c r="F67">
        <f t="shared" si="16"/>
        <v>4.3993706992675561</v>
      </c>
      <c r="H67" s="5">
        <f t="shared" si="17"/>
        <v>3.5625</v>
      </c>
      <c r="I67">
        <f t="shared" si="18"/>
        <v>3.0372775524421924</v>
      </c>
      <c r="K67">
        <f t="shared" si="19"/>
        <v>0.85256913752763286</v>
      </c>
      <c r="M67">
        <f t="shared" si="20"/>
        <v>2.8015207238416839</v>
      </c>
    </row>
    <row r="68" spans="1:13" x14ac:dyDescent="0.2">
      <c r="A68">
        <v>5.5</v>
      </c>
      <c r="B68">
        <f t="shared" si="14"/>
        <v>0.8924054673177767</v>
      </c>
      <c r="C68">
        <f t="shared" si="15"/>
        <v>1.5795741634573974</v>
      </c>
      <c r="E68">
        <f t="shared" si="21"/>
        <v>0.95699135777015132</v>
      </c>
      <c r="F68">
        <f t="shared" si="16"/>
        <v>4.7710599030834997</v>
      </c>
      <c r="H68" s="5">
        <f t="shared" si="17"/>
        <v>3.5625</v>
      </c>
      <c r="I68">
        <f t="shared" si="18"/>
        <v>2.9685790326591226</v>
      </c>
      <c r="K68">
        <f t="shared" si="19"/>
        <v>0.83328534250080633</v>
      </c>
      <c r="M68">
        <f t="shared" si="20"/>
        <v>2.7350025531566473</v>
      </c>
    </row>
    <row r="69" spans="1:13" x14ac:dyDescent="0.2">
      <c r="A69">
        <v>6</v>
      </c>
      <c r="B69">
        <f t="shared" si="14"/>
        <v>0.87992825714207723</v>
      </c>
      <c r="C69">
        <f t="shared" si="15"/>
        <v>1.5944472413141408</v>
      </c>
      <c r="E69">
        <f t="shared" si="21"/>
        <v>0.94947490286226832</v>
      </c>
      <c r="F69">
        <f t="shared" si="16"/>
        <v>5.1303718406412857</v>
      </c>
      <c r="H69" s="5">
        <f t="shared" si="17"/>
        <v>3.5625</v>
      </c>
      <c r="I69">
        <f t="shared" si="18"/>
        <v>2.8994927507843347</v>
      </c>
      <c r="K69">
        <f t="shared" si="19"/>
        <v>0.8138927019745501</v>
      </c>
      <c r="M69">
        <f t="shared" si="20"/>
        <v>2.6700637629108233</v>
      </c>
    </row>
    <row r="70" spans="1:13" x14ac:dyDescent="0.2">
      <c r="A70">
        <v>6.5</v>
      </c>
      <c r="B70">
        <f t="shared" si="14"/>
        <v>0.86752691549140104</v>
      </c>
      <c r="C70">
        <f t="shared" si="15"/>
        <v>1.6053952169755135</v>
      </c>
      <c r="E70">
        <f t="shared" si="21"/>
        <v>0.94148784633477056</v>
      </c>
      <c r="F70">
        <f t="shared" si="16"/>
        <v>5.4774217358568382</v>
      </c>
      <c r="H70" s="5">
        <f t="shared" si="17"/>
        <v>3.5625</v>
      </c>
      <c r="I70">
        <f t="shared" si="18"/>
        <v>2.8302782452024497</v>
      </c>
      <c r="K70">
        <f t="shared" si="19"/>
        <v>0.79446406882875809</v>
      </c>
      <c r="M70">
        <f t="shared" si="20"/>
        <v>2.6066668529362711</v>
      </c>
    </row>
    <row r="71" spans="1:13" x14ac:dyDescent="0.2">
      <c r="A71">
        <v>7</v>
      </c>
      <c r="B71">
        <f t="shared" si="14"/>
        <v>0.85522881762316472</v>
      </c>
      <c r="C71">
        <f t="shared" si="15"/>
        <v>1.6134538625525392</v>
      </c>
      <c r="E71">
        <f t="shared" si="21"/>
        <v>0.93306120737122045</v>
      </c>
      <c r="F71">
        <f t="shared" si="16"/>
        <v>5.8123512590911481</v>
      </c>
      <c r="H71" s="5">
        <f t="shared" si="17"/>
        <v>3.5625</v>
      </c>
      <c r="I71">
        <f t="shared" si="18"/>
        <v>2.761149753177941</v>
      </c>
      <c r="K71">
        <f t="shared" si="19"/>
        <v>0.77505957983942209</v>
      </c>
      <c r="M71">
        <f t="shared" si="20"/>
        <v>2.5447752134538142</v>
      </c>
    </row>
    <row r="72" spans="1:13" x14ac:dyDescent="0.2">
      <c r="A72">
        <v>7.5</v>
      </c>
      <c r="B72">
        <f t="shared" si="14"/>
        <v>0.84305315226139288</v>
      </c>
      <c r="C72">
        <f t="shared" si="15"/>
        <v>1.6193856666485091</v>
      </c>
      <c r="E72">
        <f>((2*$D$10*EXP(0.5*($D$7+$D$8+$D$10)*A72))/(($D$7+$D$8+$D$10)*(EXP(A72*$D$10)-1)+2*$D$10))^(2*$D$7*$D$6/$D$5^2)</f>
        <v>0.92422574687261283</v>
      </c>
      <c r="F72">
        <f>(2*(EXP(A72*$D$10)-1))/(($D$7+$D$8+$D$10)*(EXP(A72*$D$10)-1)+2*$D$10)</f>
        <v>6.1353261136515815</v>
      </c>
      <c r="H72" s="5">
        <f t="shared" si="17"/>
        <v>3.5625</v>
      </c>
      <c r="I72">
        <f t="shared" si="18"/>
        <v>2.6922864136794979</v>
      </c>
      <c r="K72">
        <f t="shared" si="19"/>
        <v>0.75572951962933277</v>
      </c>
      <c r="M72">
        <f t="shared" si="20"/>
        <v>2.4843531039320084</v>
      </c>
    </row>
    <row r="73" spans="1:13" x14ac:dyDescent="0.2">
      <c r="A73">
        <v>8</v>
      </c>
      <c r="B73">
        <f t="shared" si="14"/>
        <v>0.83101316784636881</v>
      </c>
      <c r="C73">
        <f t="shared" ref="C73:C95" si="22">(2*(EXP(A73*$C$10)-1))/((($C$7+$C$8+$C$10)*(EXP(A73*$C$10)-1))+2*$C$10)</f>
        <v>1.6237519204373019</v>
      </c>
      <c r="E73">
        <f t="shared" ref="E73:E95" si="23">((2*$D$10*EXP(0.5*($D$7+$D$8+$D$10)*A73))/(($D$7+$D$8+$D$10)*(EXP(A73*$D$10)-1)+2*$D$10))^(2*$D$7*$D$6/$D$5^2)</f>
        <v>0.9150118308123445</v>
      </c>
      <c r="F73">
        <f t="shared" ref="F73:F95" si="24">(2*(EXP(A73*$D$10)-1))/(($D$7+$D$8+$D$10)*(EXP(A73*$D$10)-1)+2*$D$10)</f>
        <v>6.4465336541298495</v>
      </c>
      <c r="H73" s="5">
        <f t="shared" si="17"/>
        <v>3.5625</v>
      </c>
      <c r="I73">
        <f t="shared" ref="I73:I95" si="25">H73*B73*EXP(-C73*$H$13)*E73*EXP(-F73*$H$14)</f>
        <v>2.6238397539054676</v>
      </c>
      <c r="K73">
        <f t="shared" ref="K73:K95" si="26">B73*EXP(-C73*$H$13)*E73*EXP(-F73*$H$14)</f>
        <v>0.73651642214890312</v>
      </c>
      <c r="M73">
        <f t="shared" si="20"/>
        <v>2.425365632448079</v>
      </c>
    </row>
    <row r="74" spans="1:13" x14ac:dyDescent="0.2">
      <c r="A74">
        <v>8.5</v>
      </c>
      <c r="B74">
        <f t="shared" si="14"/>
        <v>0.81911780721504013</v>
      </c>
      <c r="C74">
        <f t="shared" si="22"/>
        <v>1.6269657975086225</v>
      </c>
      <c r="E74">
        <f t="shared" si="23"/>
        <v>0.90544930775942578</v>
      </c>
      <c r="F74">
        <f t="shared" si="24"/>
        <v>6.7461805556279497</v>
      </c>
      <c r="H74" s="5">
        <f t="shared" si="17"/>
        <v>3.5625</v>
      </c>
      <c r="I74">
        <f t="shared" si="25"/>
        <v>2.5559391981444612</v>
      </c>
      <c r="K74">
        <f t="shared" si="26"/>
        <v>0.71745661702300667</v>
      </c>
      <c r="M74">
        <f t="shared" si="20"/>
        <v>2.3677787355388986</v>
      </c>
    </row>
    <row r="75" spans="1:13" x14ac:dyDescent="0.2">
      <c r="A75">
        <v>9</v>
      </c>
      <c r="B75">
        <f t="shared" si="14"/>
        <v>0.80737289616558805</v>
      </c>
      <c r="C75">
        <f t="shared" si="22"/>
        <v>1.6293314347892933</v>
      </c>
      <c r="E75">
        <f t="shared" si="23"/>
        <v>0.8955674004151053</v>
      </c>
      <c r="F75">
        <f t="shared" si="24"/>
        <v>7.0344905502823387</v>
      </c>
      <c r="H75" s="5">
        <f t="shared" si="17"/>
        <v>3.5625</v>
      </c>
      <c r="I75">
        <f t="shared" si="25"/>
        <v>2.488696141609672</v>
      </c>
      <c r="K75">
        <f t="shared" si="26"/>
        <v>0.69858137308341661</v>
      </c>
      <c r="M75">
        <f t="shared" si="20"/>
        <v>2.3115591585303812</v>
      </c>
    </row>
    <row r="76" spans="1:13" x14ac:dyDescent="0.2">
      <c r="A76">
        <v>9.5</v>
      </c>
      <c r="B76">
        <f t="shared" si="14"/>
        <v>0.79578200707557223</v>
      </c>
      <c r="C76">
        <f t="shared" si="22"/>
        <v>1.6310727044219495</v>
      </c>
      <c r="E76">
        <f t="shared" si="23"/>
        <v>0.88539461084412352</v>
      </c>
      <c r="F76">
        <f t="shared" si="24"/>
        <v>7.3117022449190863</v>
      </c>
      <c r="H76" s="5">
        <f t="shared" si="17"/>
        <v>3.5625</v>
      </c>
      <c r="I76">
        <f t="shared" si="25"/>
        <v>2.422206985879706</v>
      </c>
      <c r="K76">
        <f t="shared" si="26"/>
        <v>0.67991775042237368</v>
      </c>
      <c r="M76">
        <f t="shared" si="20"/>
        <v>2.2566744363339186</v>
      </c>
    </row>
    <row r="77" spans="1:13" x14ac:dyDescent="0.2">
      <c r="A77">
        <v>10</v>
      </c>
      <c r="B77">
        <f t="shared" si="14"/>
        <v>0.78434708608678383</v>
      </c>
      <c r="C77">
        <f t="shared" si="22"/>
        <v>1.6323543948550978</v>
      </c>
      <c r="E77">
        <f t="shared" si="23"/>
        <v>0.87495863894344839</v>
      </c>
      <c r="F77">
        <f t="shared" si="24"/>
        <v>7.5780670311991187</v>
      </c>
      <c r="H77" s="5">
        <f t="shared" si="17"/>
        <v>3.5625</v>
      </c>
      <c r="I77">
        <f t="shared" si="25"/>
        <v>2.3565554246010292</v>
      </c>
      <c r="K77">
        <f t="shared" si="26"/>
        <v>0.66148924199327142</v>
      </c>
      <c r="M77">
        <f t="shared" si="20"/>
        <v>2.2030928746987883</v>
      </c>
    </row>
    <row r="78" spans="1:13" x14ac:dyDescent="0.2">
      <c r="A78">
        <v>10.5</v>
      </c>
      <c r="B78">
        <f t="shared" si="14"/>
        <v>0.77306890839508635</v>
      </c>
      <c r="C78">
        <f t="shared" si="22"/>
        <v>1.6332978031801944</v>
      </c>
      <c r="E78">
        <f t="shared" si="23"/>
        <v>0.86428631357778452</v>
      </c>
      <c r="F78">
        <f t="shared" si="24"/>
        <v>7.8338470972749814</v>
      </c>
      <c r="H78" s="5">
        <f t="shared" si="17"/>
        <v>3.5625</v>
      </c>
      <c r="I78">
        <f t="shared" si="25"/>
        <v>2.2918141887028018</v>
      </c>
      <c r="K78">
        <f t="shared" si="26"/>
        <v>0.6433162634955234</v>
      </c>
      <c r="M78">
        <f t="shared" si="20"/>
        <v>2.1507835319096884</v>
      </c>
    </row>
    <row r="79" spans="1:13" x14ac:dyDescent="0.2">
      <c r="A79">
        <v>11</v>
      </c>
      <c r="B79">
        <f t="shared" si="14"/>
        <v>0.76194740863974497</v>
      </c>
      <c r="C79">
        <f t="shared" si="22"/>
        <v>1.6339922130063709</v>
      </c>
      <c r="E79">
        <f t="shared" si="23"/>
        <v>0.85340353572112315</v>
      </c>
      <c r="F79">
        <f t="shared" si="24"/>
        <v>8.0793135478029665</v>
      </c>
      <c r="H79" s="5">
        <f t="shared" si="17"/>
        <v>3.5625</v>
      </c>
      <c r="I79">
        <f t="shared" si="25"/>
        <v>2.2280464022537436</v>
      </c>
      <c r="K79">
        <f t="shared" si="26"/>
        <v>0.6254165339659632</v>
      </c>
      <c r="M79">
        <f t="shared" si="20"/>
        <v>2.0997162009188433</v>
      </c>
    </row>
    <row r="80" spans="1:13" x14ac:dyDescent="0.2">
      <c r="A80">
        <v>11.5</v>
      </c>
      <c r="B80">
        <f t="shared" si="14"/>
        <v>0.75098192057761948</v>
      </c>
      <c r="C80">
        <f t="shared" si="22"/>
        <v>1.6345033434046152</v>
      </c>
      <c r="E80">
        <f t="shared" si="23"/>
        <v>0.84233523287547885</v>
      </c>
      <c r="F80">
        <f t="shared" si="24"/>
        <v>8.3147446371541651</v>
      </c>
      <c r="H80" s="5">
        <f t="shared" si="17"/>
        <v>3.5625</v>
      </c>
      <c r="I80">
        <f t="shared" si="25"/>
        <v>2.1653066577106506</v>
      </c>
      <c r="K80">
        <f t="shared" si="26"/>
        <v>0.60780537760298947</v>
      </c>
      <c r="M80">
        <f t="shared" si="20"/>
        <v>2.0498613919023572</v>
      </c>
    </row>
    <row r="81" spans="1:13" x14ac:dyDescent="0.2">
      <c r="A81">
        <v>12</v>
      </c>
      <c r="B81">
        <f t="shared" si="14"/>
        <v>0.74017135089195962</v>
      </c>
      <c r="C81">
        <f t="shared" si="22"/>
        <v>1.6348795681368311</v>
      </c>
      <c r="E81">
        <f t="shared" si="23"/>
        <v>0.8311053239899483</v>
      </c>
      <c r="F81">
        <f t="shared" si="24"/>
        <v>8.540424118855471</v>
      </c>
      <c r="H81" s="5">
        <f t="shared" si="17"/>
        <v>3.5625</v>
      </c>
      <c r="I81">
        <f t="shared" si="25"/>
        <v>2.1036418885177932</v>
      </c>
      <c r="K81">
        <f t="shared" si="26"/>
        <v>0.59049596870674881</v>
      </c>
      <c r="M81">
        <f t="shared" si="20"/>
        <v>2.0011903152307386</v>
      </c>
    </row>
    <row r="82" spans="1:13" x14ac:dyDescent="0.2">
      <c r="A82">
        <v>12.5</v>
      </c>
      <c r="B82">
        <f t="shared" si="14"/>
        <v>0.72951430519017102</v>
      </c>
      <c r="C82">
        <f t="shared" si="22"/>
        <v>1.6351564935486922</v>
      </c>
      <c r="E82">
        <f t="shared" si="23"/>
        <v>0.81973669407316896</v>
      </c>
      <c r="F82">
        <f t="shared" si="24"/>
        <v>8.7566397126718964</v>
      </c>
      <c r="H82" s="5">
        <f t="shared" si="17"/>
        <v>3.5625</v>
      </c>
      <c r="I82">
        <f t="shared" si="25"/>
        <v>2.0430920947221298</v>
      </c>
      <c r="K82">
        <f t="shared" si="26"/>
        <v>0.57349953536059783</v>
      </c>
      <c r="M82">
        <f t="shared" si="20"/>
        <v>1.9536748648437712</v>
      </c>
    </row>
    <row r="83" spans="1:13" x14ac:dyDescent="0.2">
      <c r="A83">
        <v>13</v>
      </c>
      <c r="B83">
        <f t="shared" si="14"/>
        <v>0.71900917930204877</v>
      </c>
      <c r="C83">
        <f t="shared" si="22"/>
        <v>1.6353603282676745</v>
      </c>
      <c r="E83">
        <f t="shared" si="23"/>
        <v>0.80825117767821597</v>
      </c>
      <c r="F83">
        <f t="shared" si="24"/>
        <v>8.9636816893147913</v>
      </c>
      <c r="H83" s="5">
        <f t="shared" si="17"/>
        <v>3.5625</v>
      </c>
      <c r="I83">
        <f t="shared" si="25"/>
        <v>1.9836909611793343</v>
      </c>
      <c r="K83">
        <f t="shared" si="26"/>
        <v>0.55682553296262016</v>
      </c>
      <c r="M83">
        <f t="shared" si="20"/>
        <v>1.9072876020201224</v>
      </c>
    </row>
    <row r="84" spans="1:13" x14ac:dyDescent="0.2">
      <c r="A84">
        <v>13.5</v>
      </c>
      <c r="B84">
        <f t="shared" si="14"/>
        <v>0.70865422539811551</v>
      </c>
      <c r="C84">
        <f t="shared" si="22"/>
        <v>1.6355103635567487</v>
      </c>
      <c r="E84">
        <f t="shared" si="23"/>
        <v>0.79666955043865684</v>
      </c>
      <c r="F84">
        <f t="shared" si="24"/>
        <v>9.1618415715228583</v>
      </c>
      <c r="H84" s="5">
        <f t="shared" si="17"/>
        <v>3.5625</v>
      </c>
      <c r="I84">
        <f t="shared" si="25"/>
        <v>1.9254663963585459</v>
      </c>
      <c r="K84">
        <f t="shared" si="26"/>
        <v>0.54048179546906561</v>
      </c>
      <c r="M84">
        <f t="shared" si="20"/>
        <v>1.8620017395323181</v>
      </c>
    </row>
    <row r="85" spans="1:13" x14ac:dyDescent="0.2">
      <c r="A85">
        <v>14</v>
      </c>
      <c r="B85">
        <f t="shared" si="14"/>
        <v>0.6984475998381604</v>
      </c>
      <c r="C85">
        <f t="shared" si="22"/>
        <v>1.6356207990346376</v>
      </c>
      <c r="E85">
        <f t="shared" si="23"/>
        <v>0.78501152784600137</v>
      </c>
      <c r="F85">
        <f t="shared" si="24"/>
        <v>9.3514109492071231</v>
      </c>
      <c r="H85" s="5">
        <f t="shared" si="17"/>
        <v>3.5625</v>
      </c>
      <c r="I85">
        <f t="shared" si="25"/>
        <v>1.8684410114699599</v>
      </c>
      <c r="K85">
        <f t="shared" si="26"/>
        <v>0.52447466988630453</v>
      </c>
      <c r="M85">
        <f t="shared" si="20"/>
        <v>1.8177911261779387</v>
      </c>
    </row>
    <row r="86" spans="1:13" x14ac:dyDescent="0.2">
      <c r="A86">
        <v>14.5</v>
      </c>
      <c r="B86">
        <f t="shared" si="14"/>
        <v>0.68838739776495783</v>
      </c>
      <c r="C86">
        <f t="shared" si="22"/>
        <v>1.635702086533793</v>
      </c>
      <c r="E86">
        <f t="shared" si="23"/>
        <v>0.77329577047998765</v>
      </c>
      <c r="F86">
        <f t="shared" si="24"/>
        <v>9.5326804054677048</v>
      </c>
      <c r="H86" s="5">
        <f t="shared" si="17"/>
        <v>3.5625</v>
      </c>
      <c r="I86">
        <f t="shared" si="25"/>
        <v>1.8126325537342203</v>
      </c>
      <c r="K86">
        <f t="shared" si="26"/>
        <v>0.50880913789030746</v>
      </c>
      <c r="M86">
        <f t="shared" si="20"/>
        <v>1.774630231678098</v>
      </c>
    </row>
    <row r="87" spans="1:13" x14ac:dyDescent="0.2">
      <c r="A87">
        <v>15</v>
      </c>
      <c r="B87">
        <f t="shared" si="14"/>
        <v>0.67847167808263287</v>
      </c>
      <c r="C87">
        <f t="shared" si="22"/>
        <v>1.6357619192715134</v>
      </c>
      <c r="E87">
        <f t="shared" si="23"/>
        <v>0.7615398949323412</v>
      </c>
      <c r="F87">
        <f t="shared" si="24"/>
        <v>9.7059385495676924</v>
      </c>
      <c r="H87" s="5">
        <f t="shared" si="17"/>
        <v>3.5625</v>
      </c>
      <c r="I87">
        <f t="shared" si="25"/>
        <v>1.7580543034272103</v>
      </c>
      <c r="K87">
        <f t="shared" si="26"/>
        <v>0.49348892727781341</v>
      </c>
      <c r="M87">
        <f t="shared" si="20"/>
        <v>1.7324941319344858</v>
      </c>
    </row>
    <row r="88" spans="1:13" x14ac:dyDescent="0.2">
      <c r="A88">
        <v>15.5</v>
      </c>
      <c r="B88">
        <f t="shared" si="14"/>
        <v>0.66869848146067612</v>
      </c>
      <c r="C88">
        <f t="shared" si="22"/>
        <v>1.6358059599459935</v>
      </c>
      <c r="E88">
        <f t="shared" si="23"/>
        <v>0.74976048969998299</v>
      </c>
      <c r="F88">
        <f t="shared" si="24"/>
        <v>9.8714711523753564</v>
      </c>
      <c r="H88" s="5">
        <f t="shared" si="17"/>
        <v>3.5625</v>
      </c>
      <c r="I88">
        <f t="shared" si="25"/>
        <v>1.7047154413854857</v>
      </c>
      <c r="K88">
        <f t="shared" si="26"/>
        <v>0.47851661512575039</v>
      </c>
      <c r="M88">
        <f t="shared" si="20"/>
        <v>1.6913584946364641</v>
      </c>
    </row>
    <row r="89" spans="1:13" x14ac:dyDescent="0.2">
      <c r="A89">
        <v>16</v>
      </c>
      <c r="B89">
        <f t="shared" si="14"/>
        <v>0.65906584327924944</v>
      </c>
      <c r="C89">
        <f t="shared" si="22"/>
        <v>1.6358383766629514</v>
      </c>
      <c r="E89">
        <f t="shared" si="23"/>
        <v>0.73797313536371845</v>
      </c>
      <c r="F89">
        <f t="shared" si="24"/>
        <v>10.029560379346435</v>
      </c>
      <c r="H89" s="5">
        <f t="shared" si="17"/>
        <v>3.5625</v>
      </c>
      <c r="I89">
        <f t="shared" si="25"/>
        <v>1.6526213915954828</v>
      </c>
      <c r="K89">
        <f t="shared" si="26"/>
        <v>0.46389372395662681</v>
      </c>
      <c r="M89">
        <f t="shared" si="20"/>
        <v>1.6511995652099005</v>
      </c>
    </row>
    <row r="90" spans="1:13" x14ac:dyDescent="0.2">
      <c r="A90">
        <v>16.5</v>
      </c>
      <c r="B90">
        <f t="shared" si="14"/>
        <v>0.64957180290659911</v>
      </c>
      <c r="C90">
        <f t="shared" si="22"/>
        <v>1.6358622374125151</v>
      </c>
      <c r="E90">
        <f t="shared" si="23"/>
        <v>0.72619242841174847</v>
      </c>
      <c r="F90">
        <f t="shared" si="24"/>
        <v>10.180484115799985</v>
      </c>
      <c r="H90" s="5">
        <f t="shared" si="17"/>
        <v>3.5625</v>
      </c>
      <c r="I90">
        <f t="shared" si="25"/>
        <v>1.6017741420664489</v>
      </c>
      <c r="K90">
        <f t="shared" si="26"/>
        <v>0.44962081180812596</v>
      </c>
      <c r="M90">
        <f t="shared" si="20"/>
        <v>1.6119941530996249</v>
      </c>
    </row>
    <row r="91" spans="1:13" x14ac:dyDescent="0.2">
      <c r="A91">
        <v>17</v>
      </c>
      <c r="B91">
        <f t="shared" si="14"/>
        <v>0.64021441031664361</v>
      </c>
      <c r="C91">
        <f t="shared" si="22"/>
        <v>1.6358798004296755</v>
      </c>
      <c r="E91">
        <f t="shared" si="23"/>
        <v>0.71443200811275553</v>
      </c>
      <c r="F91">
        <f t="shared" si="24"/>
        <v>10.324515379030375</v>
      </c>
      <c r="H91" s="5">
        <f t="shared" si="17"/>
        <v>3.5625</v>
      </c>
      <c r="I91">
        <f t="shared" si="25"/>
        <v>1.5521725462092046</v>
      </c>
      <c r="K91">
        <f t="shared" si="26"/>
        <v>0.43569755683065398</v>
      </c>
      <c r="M91">
        <f t="shared" si="20"/>
        <v>1.5737196183775963</v>
      </c>
    </row>
    <row r="92" spans="1:13" x14ac:dyDescent="0.2">
      <c r="A92">
        <v>17.5</v>
      </c>
      <c r="B92">
        <f t="shared" si="14"/>
        <v>0.63099173077871507</v>
      </c>
      <c r="C92">
        <f t="shared" si="22"/>
        <v>1.6358927279182076</v>
      </c>
      <c r="E92">
        <f t="shared" si="23"/>
        <v>0.70270458588974982</v>
      </c>
      <c r="F92">
        <f t="shared" si="24"/>
        <v>10.461921811681117</v>
      </c>
      <c r="H92" s="5">
        <f t="shared" si="17"/>
        <v>3.5625</v>
      </c>
      <c r="I92">
        <f t="shared" si="25"/>
        <v>1.5038126062887442</v>
      </c>
      <c r="K92">
        <f t="shared" si="26"/>
        <v>0.4221228368529808</v>
      </c>
      <c r="M92">
        <f t="shared" si="20"/>
        <v>1.536353858669032</v>
      </c>
    </row>
    <row r="93" spans="1:13" x14ac:dyDescent="0.2">
      <c r="A93">
        <v>18</v>
      </c>
      <c r="B93">
        <f t="shared" si="14"/>
        <v>0.6219018481505052</v>
      </c>
      <c r="C93">
        <f t="shared" si="22"/>
        <v>1.6359022433651309</v>
      </c>
      <c r="E93">
        <f t="shared" si="23"/>
        <v>0.69102197669247045</v>
      </c>
      <c r="F93">
        <f t="shared" si="24"/>
        <v>10.592965250770725</v>
      </c>
      <c r="H93" s="5">
        <f t="shared" si="17"/>
        <v>3.5625</v>
      </c>
      <c r="I93">
        <f t="shared" si="25"/>
        <v>1.4566877400857263</v>
      </c>
      <c r="K93">
        <f t="shared" si="26"/>
        <v>0.40889480423458985</v>
      </c>
      <c r="M93">
        <f t="shared" si="20"/>
        <v>1.4998752963889639</v>
      </c>
    </row>
    <row r="94" spans="1:13" x14ac:dyDescent="0.2">
      <c r="A94">
        <v>18.5</v>
      </c>
      <c r="B94">
        <f t="shared" si="14"/>
        <v>0.61294286715876878</v>
      </c>
      <c r="C94">
        <f t="shared" si="22"/>
        <v>1.6359092473341592</v>
      </c>
      <c r="E94">
        <f t="shared" si="23"/>
        <v>0.67939513191215284</v>
      </c>
      <c r="F94">
        <f t="shared" si="24"/>
        <v>10.717901366794404</v>
      </c>
      <c r="H94" s="5">
        <f t="shared" si="17"/>
        <v>3.5625</v>
      </c>
      <c r="I94">
        <f t="shared" si="25"/>
        <v>1.4107890316223661</v>
      </c>
      <c r="K94">
        <f t="shared" si="26"/>
        <v>0.39601095624487465</v>
      </c>
      <c r="M94">
        <f t="shared" si="20"/>
        <v>1.46426286628184</v>
      </c>
    </row>
    <row r="95" spans="1:13" x14ac:dyDescent="0.2">
      <c r="A95">
        <v>19</v>
      </c>
      <c r="B95">
        <f t="shared" si="14"/>
        <v>0.60411291494777641</v>
      </c>
      <c r="C95">
        <f t="shared" si="22"/>
        <v>1.6359144026970338</v>
      </c>
      <c r="E95">
        <f t="shared" si="23"/>
        <v>0.66783417342732654</v>
      </c>
      <c r="F95">
        <f t="shared" si="24"/>
        <v>10.836979367417104</v>
      </c>
      <c r="H95" s="5">
        <f>100+$I$56</f>
        <v>103.5625</v>
      </c>
      <c r="I95">
        <f t="shared" si="25"/>
        <v>39.712925582835879</v>
      </c>
      <c r="K95">
        <f t="shared" si="26"/>
        <v>0.38346820116196384</v>
      </c>
      <c r="M95">
        <f t="shared" si="20"/>
        <v>41.555699603453057</v>
      </c>
    </row>
    <row r="96" spans="1:13" x14ac:dyDescent="0.2">
      <c r="H96" s="5"/>
    </row>
    <row r="97" spans="1:16" x14ac:dyDescent="0.2">
      <c r="G97" t="s">
        <v>85</v>
      </c>
      <c r="H97" s="5"/>
      <c r="I97">
        <f>SUM(I58:I95)</f>
        <v>130.52248152212479</v>
      </c>
      <c r="M97">
        <f>SUM(M58:M95)</f>
        <v>127.82812499861197</v>
      </c>
      <c r="O97">
        <f>(I98-M97)^2*10000</f>
        <v>1.9266301220669847E-14</v>
      </c>
    </row>
    <row r="98" spans="1:16" x14ac:dyDescent="0.2">
      <c r="G98" t="s">
        <v>86</v>
      </c>
      <c r="H98" s="5"/>
      <c r="I98">
        <f>'Bloomberg Prices'!N3</f>
        <v>127.828125</v>
      </c>
    </row>
    <row r="99" spans="1:16" x14ac:dyDescent="0.2">
      <c r="H99" s="5"/>
      <c r="J99">
        <f>(I97-I98)^2*10000</f>
        <v>72595.570683164056</v>
      </c>
      <c r="M99">
        <f>F24+J51+J99</f>
        <v>76551.488602440731</v>
      </c>
    </row>
    <row r="100" spans="1:16" x14ac:dyDescent="0.2">
      <c r="A100" t="s">
        <v>87</v>
      </c>
      <c r="H100" s="5"/>
    </row>
    <row r="101" spans="1:16" x14ac:dyDescent="0.2">
      <c r="A101" t="s">
        <v>120</v>
      </c>
      <c r="H101" s="5"/>
    </row>
    <row r="102" spans="1:16" x14ac:dyDescent="0.2">
      <c r="H102" s="5"/>
    </row>
    <row r="104" spans="1:16" x14ac:dyDescent="0.2">
      <c r="A104" t="s">
        <v>88</v>
      </c>
    </row>
    <row r="105" spans="1:16" x14ac:dyDescent="0.2">
      <c r="B105" t="s">
        <v>46</v>
      </c>
    </row>
    <row r="106" spans="1:16" x14ac:dyDescent="0.2">
      <c r="B106" t="s">
        <v>47</v>
      </c>
    </row>
    <row r="107" spans="1:16" x14ac:dyDescent="0.2">
      <c r="A107" t="s">
        <v>48</v>
      </c>
      <c r="D107" t="s">
        <v>48</v>
      </c>
      <c r="G107" t="s">
        <v>49</v>
      </c>
      <c r="J107" t="s">
        <v>49</v>
      </c>
      <c r="M107" t="s">
        <v>91</v>
      </c>
      <c r="P107" t="s">
        <v>91</v>
      </c>
    </row>
    <row r="108" spans="1:16" x14ac:dyDescent="0.2">
      <c r="A108" t="s">
        <v>89</v>
      </c>
      <c r="D108" t="s">
        <v>90</v>
      </c>
      <c r="G108" t="s">
        <v>89</v>
      </c>
      <c r="J108" t="s">
        <v>90</v>
      </c>
      <c r="M108" t="s">
        <v>89</v>
      </c>
      <c r="P108" t="s">
        <v>89</v>
      </c>
    </row>
    <row r="109" spans="1:16" x14ac:dyDescent="0.2">
      <c r="A109">
        <f>-C19*H19*K58</f>
        <v>-1.3927043049981134</v>
      </c>
      <c r="D109">
        <f>-F19*H19*K58</f>
        <v>-1.5974884652245458</v>
      </c>
      <c r="G109">
        <f t="shared" ref="G109:G123" si="27">-H34*C34*K34</f>
        <v>-1.0713110038447027</v>
      </c>
      <c r="J109">
        <f>-H34*F34*K34</f>
        <v>-1.2288372809419583</v>
      </c>
      <c r="M109">
        <f>-H58*C58*K58</f>
        <v>-1.5266181804787013</v>
      </c>
      <c r="P109">
        <f>-H58*F58*K58</f>
        <v>-1.7510931253422906</v>
      </c>
    </row>
    <row r="110" spans="1:16" x14ac:dyDescent="0.2">
      <c r="A110">
        <f>-C20*H20*K59</f>
        <v>-2.3964906847906335</v>
      </c>
      <c r="D110">
        <f t="shared" ref="D110:D111" si="28">-F20*H20*K59</f>
        <v>-3.1281274492028248</v>
      </c>
      <c r="G110">
        <f t="shared" si="27"/>
        <v>-1.8434543729158721</v>
      </c>
      <c r="J110">
        <f t="shared" ref="J110:J123" si="29">-H35*F35*K35</f>
        <v>-2.4062518840021729</v>
      </c>
      <c r="M110">
        <f t="shared" ref="M110:M143" si="30">-H59*C59*K59</f>
        <v>-2.6269224814051175</v>
      </c>
      <c r="P110">
        <f t="shared" ref="P110:P146" si="31">-H59*F59*K59</f>
        <v>-3.4289089347030965</v>
      </c>
    </row>
    <row r="111" spans="1:16" x14ac:dyDescent="0.2">
      <c r="A111">
        <f>-C21*H21*K60</f>
        <v>-98.711447860109516</v>
      </c>
      <c r="D111">
        <f t="shared" si="28"/>
        <v>-145.47526747284724</v>
      </c>
      <c r="G111">
        <f t="shared" si="27"/>
        <v>-2.3901076963706904</v>
      </c>
      <c r="J111">
        <f t="shared" si="29"/>
        <v>-3.5224035707711199</v>
      </c>
      <c r="M111">
        <f t="shared" si="30"/>
        <v>-3.4059034673282338</v>
      </c>
      <c r="P111">
        <f t="shared" si="31"/>
        <v>-5.0194250883488456</v>
      </c>
    </row>
    <row r="112" spans="1:16" x14ac:dyDescent="0.2">
      <c r="A112" s="2">
        <f>SUM(A109:A111)</f>
        <v>-102.50064284989827</v>
      </c>
      <c r="D112" s="2">
        <f>SUM(D109:D111)</f>
        <v>-150.20088338727462</v>
      </c>
      <c r="G112">
        <f t="shared" si="27"/>
        <v>-2.7685873675146304</v>
      </c>
      <c r="J112">
        <f t="shared" si="29"/>
        <v>-4.5713283491503329</v>
      </c>
      <c r="M112">
        <f t="shared" si="30"/>
        <v>-3.9452369987083484</v>
      </c>
      <c r="P112">
        <f t="shared" si="31"/>
        <v>-6.5141428975392239</v>
      </c>
    </row>
    <row r="113" spans="7:16" x14ac:dyDescent="0.2">
      <c r="G113">
        <f t="shared" si="27"/>
        <v>-3.022618785996444</v>
      </c>
      <c r="J113">
        <f t="shared" si="29"/>
        <v>-5.5497846843163083</v>
      </c>
      <c r="M113">
        <f t="shared" si="30"/>
        <v>-4.3072317700449325</v>
      </c>
      <c r="P113">
        <f t="shared" si="31"/>
        <v>-7.9084431751507402</v>
      </c>
    </row>
    <row r="114" spans="7:16" x14ac:dyDescent="0.2">
      <c r="G114">
        <f t="shared" si="27"/>
        <v>-3.1851063713383869</v>
      </c>
      <c r="J114">
        <f t="shared" si="29"/>
        <v>-6.4564316026642947</v>
      </c>
      <c r="M114">
        <f t="shared" si="30"/>
        <v>-4.5387765791572008</v>
      </c>
      <c r="P114">
        <f t="shared" si="31"/>
        <v>-9.2004150337966202</v>
      </c>
    </row>
    <row r="115" spans="7:16" x14ac:dyDescent="0.2">
      <c r="G115">
        <f t="shared" si="27"/>
        <v>-3.2805729034312883</v>
      </c>
      <c r="J115">
        <f t="shared" si="29"/>
        <v>-7.2912530395071986</v>
      </c>
      <c r="M115">
        <f t="shared" si="30"/>
        <v>-4.674816387389586</v>
      </c>
      <c r="P115">
        <f t="shared" si="31"/>
        <v>-10.390035581297759</v>
      </c>
    </row>
    <row r="116" spans="7:16" x14ac:dyDescent="0.2">
      <c r="G116">
        <f t="shared" si="27"/>
        <v>-3.3271691815569882</v>
      </c>
      <c r="J116">
        <f t="shared" si="29"/>
        <v>-8.0551586424675321</v>
      </c>
      <c r="M116">
        <f t="shared" si="30"/>
        <v>-4.7412160837187081</v>
      </c>
      <c r="P116">
        <f t="shared" si="31"/>
        <v>-11.478601065516234</v>
      </c>
    </row>
    <row r="117" spans="7:16" x14ac:dyDescent="0.2">
      <c r="G117">
        <f t="shared" si="27"/>
        <v>-3.3382647479142165</v>
      </c>
      <c r="J117">
        <f t="shared" si="29"/>
        <v>-8.7497079398393236</v>
      </c>
      <c r="M117">
        <f t="shared" si="30"/>
        <v>-4.7570272657777588</v>
      </c>
      <c r="P117">
        <f t="shared" si="31"/>
        <v>-12.468333814271036</v>
      </c>
    </row>
    <row r="118" spans="7:16" x14ac:dyDescent="0.2">
      <c r="G118">
        <f t="shared" si="27"/>
        <v>-3.3236748004969652</v>
      </c>
      <c r="J118">
        <f t="shared" si="29"/>
        <v>-9.376919206847198</v>
      </c>
      <c r="M118">
        <f t="shared" si="30"/>
        <v>-4.7362365907081756</v>
      </c>
      <c r="P118">
        <f t="shared" si="31"/>
        <v>-13.362109869757258</v>
      </c>
    </row>
    <row r="119" spans="7:16" x14ac:dyDescent="0.2">
      <c r="G119">
        <f t="shared" si="27"/>
        <v>-3.2905899945050554</v>
      </c>
      <c r="J119">
        <f t="shared" si="29"/>
        <v>-9.9391357135819955</v>
      </c>
      <c r="M119">
        <f t="shared" si="30"/>
        <v>-4.6890907421697028</v>
      </c>
      <c r="P119">
        <f t="shared" si="31"/>
        <v>-14.163268391854343</v>
      </c>
    </row>
    <row r="120" spans="7:16" x14ac:dyDescent="0.2">
      <c r="G120">
        <f t="shared" si="27"/>
        <v>-3.2442724334725841</v>
      </c>
      <c r="J120">
        <f t="shared" si="29"/>
        <v>-10.438930498784204</v>
      </c>
      <c r="M120">
        <f t="shared" si="30"/>
        <v>-4.6230882176984327</v>
      </c>
      <c r="P120">
        <f t="shared" si="31"/>
        <v>-14.875475960767492</v>
      </c>
    </row>
    <row r="121" spans="7:16" x14ac:dyDescent="0.2">
      <c r="G121">
        <f t="shared" si="27"/>
        <v>-3.1885720403914837</v>
      </c>
      <c r="J121">
        <f t="shared" si="29"/>
        <v>-10.879036897399756</v>
      </c>
      <c r="M121">
        <f t="shared" si="30"/>
        <v>-4.5437151575578643</v>
      </c>
      <c r="P121">
        <f t="shared" si="31"/>
        <v>-15.502627578794653</v>
      </c>
    </row>
    <row r="122" spans="7:16" x14ac:dyDescent="0.2">
      <c r="G122">
        <f t="shared" si="27"/>
        <v>-3.1263071820006592</v>
      </c>
      <c r="J122">
        <f t="shared" si="29"/>
        <v>-11.262296311875803</v>
      </c>
      <c r="M122">
        <f t="shared" si="30"/>
        <v>-4.4549877343509401</v>
      </c>
      <c r="P122">
        <f t="shared" si="31"/>
        <v>-16.04877224442302</v>
      </c>
    </row>
    <row r="123" spans="7:16" x14ac:dyDescent="0.2">
      <c r="G123">
        <f t="shared" si="27"/>
        <v>-125.44129907496773</v>
      </c>
      <c r="J123">
        <f t="shared" si="29"/>
        <v>-475.25632330551906</v>
      </c>
      <c r="M123">
        <f t="shared" si="30"/>
        <v>-4.3598500288250976</v>
      </c>
      <c r="P123">
        <f t="shared" si="31"/>
        <v>-16.518055139277187</v>
      </c>
    </row>
    <row r="124" spans="7:16" x14ac:dyDescent="0.2">
      <c r="G124" s="2">
        <f>SUM(G109:G123)</f>
        <v>-165.84190795671771</v>
      </c>
      <c r="J124" s="2">
        <f>SUM(J109:J123)</f>
        <v>-574.9837989276682</v>
      </c>
      <c r="M124">
        <f t="shared" si="30"/>
        <v>-4.2604648393237401</v>
      </c>
      <c r="P124">
        <f t="shared" si="31"/>
        <v>-16.914671276595378</v>
      </c>
    </row>
    <row r="125" spans="7:16" x14ac:dyDescent="0.2">
      <c r="M125">
        <f t="shared" si="30"/>
        <v>-4.1584256558926525</v>
      </c>
      <c r="P125">
        <f t="shared" si="31"/>
        <v>-17.242827319889457</v>
      </c>
    </row>
    <row r="126" spans="7:16" x14ac:dyDescent="0.2">
      <c r="M126">
        <f t="shared" si="30"/>
        <v>-4.0549108551634649</v>
      </c>
      <c r="P126">
        <f t="shared" si="31"/>
        <v>-17.506709490677352</v>
      </c>
    </row>
    <row r="127" spans="7:16" x14ac:dyDescent="0.2">
      <c r="M127">
        <f t="shared" si="30"/>
        <v>-3.9507956991285513</v>
      </c>
      <c r="P127">
        <f t="shared" si="31"/>
        <v>-17.710456256315339</v>
      </c>
    </row>
    <row r="128" spans="7:16" x14ac:dyDescent="0.2">
      <c r="M128">
        <f t="shared" si="30"/>
        <v>-3.8467336040671118</v>
      </c>
      <c r="P128">
        <f t="shared" si="31"/>
        <v>-17.858134970362503</v>
      </c>
    </row>
    <row r="129" spans="13:16" x14ac:dyDescent="0.2">
      <c r="M129">
        <f t="shared" si="30"/>
        <v>-3.7432150797054859</v>
      </c>
      <c r="P129">
        <f t="shared" si="31"/>
        <v>-17.953721929663065</v>
      </c>
    </row>
    <row r="130" spans="13:16" x14ac:dyDescent="0.2">
      <c r="M130">
        <f t="shared" si="30"/>
        <v>-3.6406104714994774</v>
      </c>
      <c r="P130">
        <f t="shared" si="31"/>
        <v>-18.001085482862333</v>
      </c>
    </row>
    <row r="131" spans="13:16" x14ac:dyDescent="0.2">
      <c r="M131">
        <f t="shared" si="30"/>
        <v>-3.53920097152433</v>
      </c>
      <c r="P131">
        <f t="shared" si="31"/>
        <v>-18.003971919993838</v>
      </c>
    </row>
    <row r="132" spans="13:16" x14ac:dyDescent="0.2">
      <c r="M132">
        <f t="shared" si="30"/>
        <v>-3.4392011422145168</v>
      </c>
      <c r="P132">
        <f t="shared" si="31"/>
        <v>-17.965993922132029</v>
      </c>
    </row>
    <row r="133" spans="13:16" x14ac:dyDescent="0.2">
      <c r="M133">
        <f t="shared" si="30"/>
        <v>-3.3407753056028904</v>
      </c>
      <c r="P133">
        <f t="shared" si="31"/>
        <v>-17.890621373289814</v>
      </c>
    </row>
    <row r="134" spans="13:16" x14ac:dyDescent="0.2">
      <c r="M134">
        <f t="shared" si="30"/>
        <v>-3.244049501455855</v>
      </c>
      <c r="P134">
        <f t="shared" si="31"/>
        <v>-17.781174345982457</v>
      </c>
    </row>
    <row r="135" spans="13:16" x14ac:dyDescent="0.2">
      <c r="M135">
        <f t="shared" si="30"/>
        <v>-3.1491202459246685</v>
      </c>
      <c r="P135">
        <f t="shared" si="31"/>
        <v>-17.640818074728038</v>
      </c>
    </row>
    <row r="136" spans="13:16" x14ac:dyDescent="0.2">
      <c r="M136">
        <f t="shared" si="30"/>
        <v>-3.0560609801295824</v>
      </c>
      <c r="P136">
        <f t="shared" si="31"/>
        <v>-17.472559732607813</v>
      </c>
    </row>
    <row r="137" spans="13:16" x14ac:dyDescent="0.2">
      <c r="M137">
        <f t="shared" si="30"/>
        <v>-2.9649268502621418</v>
      </c>
      <c r="P137">
        <f t="shared" si="31"/>
        <v>-17.279246827295086</v>
      </c>
    </row>
    <row r="138" spans="13:16" x14ac:dyDescent="0.2">
      <c r="M138">
        <f t="shared" si="30"/>
        <v>-2.875758281557637</v>
      </c>
      <c r="P138">
        <f t="shared" si="31"/>
        <v>-17.063567035867539</v>
      </c>
    </row>
    <row r="139" spans="13:16" x14ac:dyDescent="0.2">
      <c r="M139">
        <f>-H88*C88*K88</f>
        <v>-2.7885836790303427</v>
      </c>
      <c r="P139">
        <f t="shared" si="31"/>
        <v>-16.828049302645645</v>
      </c>
    </row>
    <row r="140" spans="13:16" x14ac:dyDescent="0.2">
      <c r="M140">
        <f t="shared" si="30"/>
        <v>-2.7034214944660224</v>
      </c>
      <c r="P140">
        <f t="shared" si="31"/>
        <v>-16.575066031206426</v>
      </c>
    </row>
    <row r="141" spans="13:16" x14ac:dyDescent="0.2">
      <c r="M141">
        <f t="shared" si="30"/>
        <v>-2.6202818318703329</v>
      </c>
      <c r="P141">
        <f t="shared" si="31"/>
        <v>-16.30683621040663</v>
      </c>
    </row>
    <row r="142" spans="13:16" x14ac:dyDescent="0.2">
      <c r="M142">
        <f t="shared" si="30"/>
        <v>-2.5391677151251351</v>
      </c>
      <c r="P142">
        <f t="shared" si="31"/>
        <v>-16.025429324245671</v>
      </c>
    </row>
    <row r="143" spans="13:16" x14ac:dyDescent="0.2">
      <c r="M143">
        <f t="shared" si="30"/>
        <v>-2.460076106779483</v>
      </c>
      <c r="P143">
        <f t="shared" si="31"/>
        <v>-15.732769906413239</v>
      </c>
    </row>
    <row r="144" spans="13:16" x14ac:dyDescent="0.2">
      <c r="M144">
        <f>-H93*C93*K93</f>
        <v>-2.3829987418887222</v>
      </c>
      <c r="P144">
        <f t="shared" si="31"/>
        <v>-15.430642611951837</v>
      </c>
    </row>
    <row r="145" spans="1:16" x14ac:dyDescent="0.2">
      <c r="M145">
        <f>-H94*C94*K94</f>
        <v>-2.3079228228686319</v>
      </c>
      <c r="P145">
        <f t="shared" si="31"/>
        <v>-15.12069769028391</v>
      </c>
    </row>
    <row r="146" spans="1:16" x14ac:dyDescent="0.2">
      <c r="M146">
        <f>-H95*C95*K95</f>
        <v>-64.966946934196713</v>
      </c>
      <c r="P146">
        <f t="shared" si="31"/>
        <v>-430.36815516096334</v>
      </c>
    </row>
    <row r="148" spans="1:16" x14ac:dyDescent="0.2">
      <c r="M148">
        <f>SUM(M109:M146)</f>
        <v>-197.96436649499628</v>
      </c>
      <c r="P148">
        <f>SUM(P109:P146)</f>
        <v>-965.30291409721849</v>
      </c>
    </row>
    <row r="150" spans="1:16" x14ac:dyDescent="0.2">
      <c r="E150" t="s">
        <v>93</v>
      </c>
      <c r="F150" t="s">
        <v>94</v>
      </c>
    </row>
    <row r="151" spans="1:16" x14ac:dyDescent="0.2">
      <c r="A151" t="s">
        <v>92</v>
      </c>
      <c r="C151">
        <v>-100</v>
      </c>
      <c r="E151">
        <f>C151*G124</f>
        <v>16584.19079567177</v>
      </c>
      <c r="F151">
        <f>C151*J124</f>
        <v>57498.379892766818</v>
      </c>
      <c r="H151">
        <f>C151*I51</f>
        <v>-10876.5625</v>
      </c>
    </row>
    <row r="153" spans="1:16" x14ac:dyDescent="0.2">
      <c r="A153" t="s">
        <v>95</v>
      </c>
      <c r="C153">
        <v>66.84228141437805</v>
      </c>
      <c r="E153">
        <f>C153*A112</f>
        <v>-6851.3768145275571</v>
      </c>
      <c r="F153">
        <f>C153*D112</f>
        <v>-10039.769716060391</v>
      </c>
      <c r="H153">
        <f>C153*E24</f>
        <v>7187.6340733398392</v>
      </c>
    </row>
    <row r="155" spans="1:16" x14ac:dyDescent="0.2">
      <c r="A155" t="s">
        <v>96</v>
      </c>
      <c r="C155">
        <v>49.164474160001063</v>
      </c>
      <c r="E155">
        <f>C155*M148</f>
        <v>-9732.8139811442252</v>
      </c>
      <c r="F155">
        <f>C155*P148</f>
        <v>-47458.610176706425</v>
      </c>
      <c r="H155">
        <f>C155*I98</f>
        <v>6284.6025484838856</v>
      </c>
    </row>
    <row r="157" spans="1:16" x14ac:dyDescent="0.2">
      <c r="A157" t="s">
        <v>97</v>
      </c>
      <c r="E157">
        <f>E151+E153+E155</f>
        <v>0</v>
      </c>
      <c r="F157">
        <f>F151+F153+F155</f>
        <v>0</v>
      </c>
      <c r="G157">
        <f>E157^2*10000+F157^2*10000</f>
        <v>0</v>
      </c>
      <c r="H157">
        <f>H151+H153+H155</f>
        <v>2595.6741218237248</v>
      </c>
    </row>
    <row r="159" spans="1:16" x14ac:dyDescent="0.2">
      <c r="A159" t="s">
        <v>121</v>
      </c>
      <c r="C159">
        <f>(B166*L16+B168*N56+B167*N32)/B170</f>
        <v>3.6870577003960442E-3</v>
      </c>
    </row>
    <row r="161" spans="1:12" x14ac:dyDescent="0.2">
      <c r="A161" t="s">
        <v>123</v>
      </c>
      <c r="C161">
        <f>0.5*(L16+N56)-N32</f>
        <v>-5.1700604091087787E-3</v>
      </c>
    </row>
    <row r="165" spans="1:12" x14ac:dyDescent="0.2">
      <c r="A165" t="s">
        <v>107</v>
      </c>
      <c r="B165" t="s">
        <v>108</v>
      </c>
      <c r="D165" t="s">
        <v>106</v>
      </c>
      <c r="E165" t="s">
        <v>114</v>
      </c>
      <c r="G165" t="s">
        <v>113</v>
      </c>
      <c r="J165" t="s">
        <v>115</v>
      </c>
      <c r="K165" s="5" t="s">
        <v>114</v>
      </c>
    </row>
    <row r="166" spans="1:12" x14ac:dyDescent="0.2">
      <c r="A166" t="s">
        <v>111</v>
      </c>
      <c r="B166">
        <f>C153*'Bloomberg Prices'!D3</f>
        <v>7187.6340733398392</v>
      </c>
      <c r="D166">
        <f>C153*'Bloomberg Prices'!D8</f>
        <v>7184.5008413985406</v>
      </c>
      <c r="G166">
        <f>C153*'Bloomberg Prices'!D13</f>
        <v>7170.9235029862448</v>
      </c>
      <c r="J166">
        <f>C153*'Bloomberg Prices'!D24</f>
        <v>7175.1011455746439</v>
      </c>
      <c r="K166" s="5">
        <f>K173*I17</f>
        <v>0.52361111111111114</v>
      </c>
      <c r="L166">
        <f>K166*C153</f>
        <v>34.999361240584065</v>
      </c>
    </row>
    <row r="167" spans="1:12" x14ac:dyDescent="0.2">
      <c r="A167" t="s">
        <v>109</v>
      </c>
      <c r="B167">
        <f>C151*'Bloomberg Prices'!I3</f>
        <v>-10876.5625</v>
      </c>
      <c r="D167">
        <f>C151*'Bloomberg Prices'!I8</f>
        <v>-10887.5</v>
      </c>
      <c r="G167">
        <f>C151*'Bloomberg Prices'!I13</f>
        <v>-10867.1875</v>
      </c>
      <c r="J167">
        <f>C151*'Bloomberg Prices'!I24</f>
        <v>-11107.8125</v>
      </c>
      <c r="K167" s="5">
        <f>K173*I32</f>
        <v>0.40277777777777779</v>
      </c>
      <c r="L167">
        <f>K167*C151</f>
        <v>-40.277777777777779</v>
      </c>
    </row>
    <row r="168" spans="1:12" x14ac:dyDescent="0.2">
      <c r="A168" t="s">
        <v>110</v>
      </c>
      <c r="B168">
        <f>C155*'Bloomberg Prices'!N3</f>
        <v>6284.6025484838856</v>
      </c>
      <c r="D168">
        <f>C155*'Bloomberg Prices'!N9</f>
        <v>6303.8074212026368</v>
      </c>
      <c r="G168">
        <f>C155*'Bloomberg Prices'!N13</f>
        <v>6285.3707433926356</v>
      </c>
      <c r="J168">
        <f>C155*'Bloomberg Prices'!N24</f>
        <v>6498.1607331163905</v>
      </c>
      <c r="K168" s="5">
        <f>K173*I56</f>
        <v>0.57395833333333335</v>
      </c>
      <c r="L168">
        <f>K168*C155</f>
        <v>28.218359648083943</v>
      </c>
    </row>
    <row r="170" spans="1:12" x14ac:dyDescent="0.2">
      <c r="A170" t="s">
        <v>112</v>
      </c>
      <c r="B170">
        <f>SUM(B166:B168)</f>
        <v>2595.6741218237248</v>
      </c>
      <c r="D170">
        <f>SUM(D166:D168)</f>
        <v>2600.8082626011774</v>
      </c>
      <c r="G170">
        <f>SUM(G166:G168)</f>
        <v>2589.1067463788804</v>
      </c>
      <c r="J170">
        <f>SUM(J166:J168)</f>
        <v>2565.4493786910343</v>
      </c>
      <c r="L170">
        <f>SUM(L166:L168)</f>
        <v>22.93994311089023</v>
      </c>
    </row>
    <row r="171" spans="1:12" x14ac:dyDescent="0.2">
      <c r="J171" s="8">
        <v>36601</v>
      </c>
    </row>
    <row r="172" spans="1:12" x14ac:dyDescent="0.2">
      <c r="J172" s="8">
        <v>36572</v>
      </c>
    </row>
    <row r="173" spans="1:12" x14ac:dyDescent="0.2">
      <c r="J173" s="8">
        <v>36752</v>
      </c>
      <c r="K173">
        <f>(J171-J172)/(J173-J172)</f>
        <v>0.16111111111111112</v>
      </c>
    </row>
    <row r="175" spans="1:12" x14ac:dyDescent="0.2">
      <c r="J175" t="s">
        <v>116</v>
      </c>
      <c r="K175">
        <f>J170+L170-B170</f>
        <v>-7.2848000218000379</v>
      </c>
    </row>
    <row r="178" spans="1:1" x14ac:dyDescent="0.2">
      <c r="A178" t="s">
        <v>117</v>
      </c>
    </row>
  </sheetData>
  <phoneticPr fontId="1" type="noConversion"/>
  <pageMargins left="0.75" right="0.75" top="1" bottom="1" header="0.5" footer="0.5"/>
  <pageSetup orientation="portrait" horizontalDpi="4294967292" verticalDpi="4294967292" r:id="rId1"/>
  <ignoredErrors>
    <ignoredError sqref="G157" formula="1"/>
  </ignoredErrors>
  <extLst>
    <ext xmlns:mx="http://schemas.microsoft.com/office/mac/excel/2008/main" uri="http://schemas.microsoft.com/office/mac/excel/2008/main">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N67"/>
  <sheetViews>
    <sheetView workbookViewId="0">
      <selection activeCell="K3" sqref="K3"/>
    </sheetView>
  </sheetViews>
  <sheetFormatPr defaultRowHeight="12.75" x14ac:dyDescent="0.2"/>
  <cols>
    <col min="1" max="1" width="10.5" customWidth="1"/>
    <col min="4" max="4" width="10.875" bestFit="1" customWidth="1"/>
    <col min="6" max="6" width="13.125" customWidth="1"/>
    <col min="11" max="11" width="15" customWidth="1"/>
  </cols>
  <sheetData>
    <row r="1" spans="1:14" x14ac:dyDescent="0.2">
      <c r="A1" t="s">
        <v>98</v>
      </c>
      <c r="F1" t="s">
        <v>103</v>
      </c>
      <c r="K1" t="s">
        <v>104</v>
      </c>
    </row>
    <row r="2" spans="1:14" x14ac:dyDescent="0.2">
      <c r="A2" t="s">
        <v>99</v>
      </c>
      <c r="B2" t="s">
        <v>100</v>
      </c>
      <c r="C2" t="s">
        <v>101</v>
      </c>
      <c r="D2" t="s">
        <v>102</v>
      </c>
      <c r="F2" t="s">
        <v>99</v>
      </c>
      <c r="G2" t="s">
        <v>100</v>
      </c>
      <c r="H2" t="s">
        <v>101</v>
      </c>
      <c r="I2" t="s">
        <v>102</v>
      </c>
      <c r="K2" t="s">
        <v>99</v>
      </c>
      <c r="L2" t="s">
        <v>100</v>
      </c>
      <c r="M2" t="s">
        <v>101</v>
      </c>
      <c r="N2" t="s">
        <v>102</v>
      </c>
    </row>
    <row r="3" spans="1:14" x14ac:dyDescent="0.2">
      <c r="A3" s="8">
        <v>36572</v>
      </c>
      <c r="B3">
        <v>107.5625</v>
      </c>
      <c r="C3">
        <v>107.5</v>
      </c>
      <c r="D3">
        <v>107.53125</v>
      </c>
      <c r="F3" s="8">
        <v>36572</v>
      </c>
      <c r="G3">
        <v>108.796875</v>
      </c>
      <c r="H3">
        <v>108.734375</v>
      </c>
      <c r="I3">
        <v>108.765625</v>
      </c>
      <c r="K3" s="8">
        <v>36572</v>
      </c>
      <c r="L3">
        <v>127.859375</v>
      </c>
      <c r="M3">
        <v>127.796875</v>
      </c>
      <c r="N3">
        <v>127.828125</v>
      </c>
    </row>
    <row r="4" spans="1:14" x14ac:dyDescent="0.2">
      <c r="A4" s="8">
        <v>36573</v>
      </c>
      <c r="B4">
        <v>107.53125</v>
      </c>
      <c r="C4">
        <v>107.46875</v>
      </c>
      <c r="D4">
        <v>107.5</v>
      </c>
      <c r="F4" s="8">
        <v>36573</v>
      </c>
      <c r="G4">
        <v>108.703125</v>
      </c>
      <c r="H4">
        <v>108.640625</v>
      </c>
      <c r="I4">
        <v>108.671875</v>
      </c>
      <c r="K4" s="8">
        <v>36573</v>
      </c>
      <c r="L4">
        <v>127.84375</v>
      </c>
      <c r="M4">
        <v>127.78125</v>
      </c>
      <c r="N4">
        <v>127.8125</v>
      </c>
    </row>
    <row r="5" spans="1:14" x14ac:dyDescent="0.2">
      <c r="A5" s="8">
        <v>36574</v>
      </c>
      <c r="B5">
        <v>107.5625</v>
      </c>
      <c r="C5">
        <v>107.5</v>
      </c>
      <c r="D5">
        <v>107.53125</v>
      </c>
      <c r="F5" s="8">
        <v>36574</v>
      </c>
      <c r="G5">
        <v>108.828125</v>
      </c>
      <c r="H5">
        <v>108.765625</v>
      </c>
      <c r="I5">
        <v>108.796875</v>
      </c>
      <c r="K5" s="8">
        <v>36574</v>
      </c>
      <c r="L5">
        <v>128.0625</v>
      </c>
      <c r="M5">
        <v>128</v>
      </c>
      <c r="N5">
        <v>128.03125</v>
      </c>
    </row>
    <row r="6" spans="1:14" x14ac:dyDescent="0.2">
      <c r="A6" s="8">
        <v>36575</v>
      </c>
      <c r="B6">
        <v>107.4375</v>
      </c>
      <c r="C6">
        <v>107.375</v>
      </c>
      <c r="D6">
        <v>107.40625</v>
      </c>
      <c r="F6" s="8">
        <v>36575</v>
      </c>
      <c r="G6">
        <v>108.359375</v>
      </c>
      <c r="H6">
        <v>108.296875</v>
      </c>
      <c r="I6">
        <v>108.328125</v>
      </c>
      <c r="K6" s="8">
        <v>36575</v>
      </c>
      <c r="L6">
        <v>127.1875</v>
      </c>
      <c r="M6">
        <v>127.125</v>
      </c>
      <c r="N6">
        <v>127.15625</v>
      </c>
    </row>
    <row r="7" spans="1:14" x14ac:dyDescent="0.2">
      <c r="A7" s="8">
        <v>36578</v>
      </c>
      <c r="B7">
        <v>107.5</v>
      </c>
      <c r="C7">
        <v>107.4375</v>
      </c>
      <c r="D7">
        <v>107.46875</v>
      </c>
      <c r="F7" s="8">
        <v>36578</v>
      </c>
      <c r="G7">
        <v>108.8125</v>
      </c>
      <c r="H7">
        <v>108.75</v>
      </c>
      <c r="I7">
        <v>108.78125</v>
      </c>
      <c r="K7" s="8">
        <v>36578</v>
      </c>
      <c r="L7">
        <v>128.015625</v>
      </c>
      <c r="M7">
        <v>127.953125</v>
      </c>
      <c r="N7">
        <v>127.984375</v>
      </c>
    </row>
    <row r="8" spans="1:14" x14ac:dyDescent="0.2">
      <c r="A8" s="8">
        <v>36579</v>
      </c>
      <c r="B8">
        <v>107.515625</v>
      </c>
      <c r="C8">
        <v>107.453125</v>
      </c>
      <c r="D8">
        <v>107.484375</v>
      </c>
      <c r="F8" s="8">
        <v>36579</v>
      </c>
      <c r="G8">
        <v>108.90625</v>
      </c>
      <c r="H8">
        <v>108.84375</v>
      </c>
      <c r="I8">
        <v>108.875</v>
      </c>
      <c r="K8" s="8">
        <v>36579</v>
      </c>
      <c r="L8">
        <v>128.0625</v>
      </c>
      <c r="M8">
        <v>128</v>
      </c>
      <c r="N8">
        <v>128.03125</v>
      </c>
    </row>
    <row r="9" spans="1:14" x14ac:dyDescent="0.2">
      <c r="A9" s="8">
        <v>36580</v>
      </c>
      <c r="B9">
        <v>107.53125</v>
      </c>
      <c r="C9">
        <v>107.46875</v>
      </c>
      <c r="D9">
        <v>107.5</v>
      </c>
      <c r="F9" s="8">
        <v>36580</v>
      </c>
      <c r="G9">
        <v>109.015625</v>
      </c>
      <c r="H9">
        <v>108.953125</v>
      </c>
      <c r="I9">
        <v>108.984375</v>
      </c>
      <c r="K9" s="8">
        <v>36580</v>
      </c>
      <c r="L9">
        <v>128.25</v>
      </c>
      <c r="M9">
        <v>128.1875</v>
      </c>
      <c r="N9">
        <v>128.21875</v>
      </c>
    </row>
    <row r="10" spans="1:14" x14ac:dyDescent="0.2">
      <c r="A10" s="8">
        <v>36581</v>
      </c>
      <c r="B10">
        <v>107.484375</v>
      </c>
      <c r="C10">
        <v>107.421875</v>
      </c>
      <c r="D10">
        <v>107.453125</v>
      </c>
      <c r="F10" s="8">
        <v>36581</v>
      </c>
      <c r="G10">
        <v>108.828125</v>
      </c>
      <c r="H10">
        <v>108.765625</v>
      </c>
      <c r="I10">
        <v>108.796875</v>
      </c>
      <c r="K10" s="8">
        <v>36581</v>
      </c>
      <c r="L10">
        <v>127.875</v>
      </c>
      <c r="M10">
        <v>127.8125</v>
      </c>
      <c r="N10">
        <v>127.84375</v>
      </c>
    </row>
    <row r="11" spans="1:14" x14ac:dyDescent="0.2">
      <c r="A11" s="8">
        <v>36582</v>
      </c>
      <c r="B11">
        <v>107.484375</v>
      </c>
      <c r="C11">
        <v>107.421875</v>
      </c>
      <c r="D11">
        <v>107.453125</v>
      </c>
      <c r="F11" s="8">
        <v>36582</v>
      </c>
      <c r="G11">
        <v>109.265625</v>
      </c>
      <c r="H11">
        <v>109.203125</v>
      </c>
      <c r="I11">
        <v>109.234375</v>
      </c>
      <c r="K11" s="8">
        <v>36582</v>
      </c>
      <c r="L11">
        <v>128.90625</v>
      </c>
      <c r="M11">
        <v>128.84375</v>
      </c>
      <c r="N11">
        <v>128.875</v>
      </c>
    </row>
    <row r="12" spans="1:14" x14ac:dyDescent="0.2">
      <c r="A12" s="8">
        <v>36585</v>
      </c>
      <c r="B12">
        <v>107.453125</v>
      </c>
      <c r="C12">
        <v>107.390625</v>
      </c>
      <c r="D12">
        <v>107.421875</v>
      </c>
      <c r="F12" s="8">
        <v>36585</v>
      </c>
      <c r="G12">
        <v>109.203125</v>
      </c>
      <c r="H12">
        <v>109.140625</v>
      </c>
      <c r="I12">
        <v>109.171875</v>
      </c>
      <c r="K12" s="8">
        <v>36585</v>
      </c>
      <c r="L12">
        <v>128.90625</v>
      </c>
      <c r="M12">
        <v>128.84375</v>
      </c>
      <c r="N12">
        <v>128.875</v>
      </c>
    </row>
    <row r="13" spans="1:14" x14ac:dyDescent="0.2">
      <c r="A13" s="8">
        <v>36586</v>
      </c>
      <c r="B13">
        <v>107.3125</v>
      </c>
      <c r="C13">
        <v>107.25</v>
      </c>
      <c r="D13">
        <v>107.28125</v>
      </c>
      <c r="F13" s="8">
        <v>36586</v>
      </c>
      <c r="G13">
        <v>108.703125</v>
      </c>
      <c r="H13">
        <v>108.640625</v>
      </c>
      <c r="I13">
        <v>108.671875</v>
      </c>
      <c r="K13" s="8">
        <v>36586</v>
      </c>
      <c r="L13">
        <v>127.875</v>
      </c>
      <c r="M13">
        <v>127.8125</v>
      </c>
      <c r="N13">
        <v>127.84375</v>
      </c>
    </row>
    <row r="14" spans="1:14" x14ac:dyDescent="0.2">
      <c r="A14" s="8">
        <v>36587</v>
      </c>
      <c r="B14">
        <v>107.296875</v>
      </c>
      <c r="C14">
        <v>107.234375</v>
      </c>
      <c r="D14">
        <v>107.265625</v>
      </c>
      <c r="F14" s="8">
        <v>36587</v>
      </c>
      <c r="G14">
        <v>108.640625</v>
      </c>
      <c r="H14">
        <v>108.578125</v>
      </c>
      <c r="I14">
        <v>108.609375</v>
      </c>
      <c r="K14" s="8">
        <v>36587</v>
      </c>
      <c r="L14">
        <v>127.8125</v>
      </c>
      <c r="M14">
        <v>127.75</v>
      </c>
      <c r="N14">
        <v>127.78125</v>
      </c>
    </row>
    <row r="15" spans="1:14" x14ac:dyDescent="0.2">
      <c r="A15" s="8">
        <v>36588</v>
      </c>
      <c r="B15">
        <v>107.3125</v>
      </c>
      <c r="C15">
        <v>107.25</v>
      </c>
      <c r="D15">
        <v>107.28125</v>
      </c>
      <c r="F15" s="8">
        <v>36588</v>
      </c>
      <c r="G15">
        <v>108.90625</v>
      </c>
      <c r="H15">
        <v>108.84375</v>
      </c>
      <c r="I15">
        <v>108.875</v>
      </c>
      <c r="K15" s="8">
        <v>36588</v>
      </c>
      <c r="L15">
        <v>128.265625</v>
      </c>
      <c r="M15">
        <v>128.203125</v>
      </c>
      <c r="N15">
        <v>128.234375</v>
      </c>
    </row>
    <row r="16" spans="1:14" x14ac:dyDescent="0.2">
      <c r="A16" s="8">
        <v>36589</v>
      </c>
      <c r="B16">
        <v>107.453125</v>
      </c>
      <c r="C16">
        <v>107.390625</v>
      </c>
      <c r="D16">
        <v>107.421875</v>
      </c>
      <c r="F16" s="8">
        <v>36589</v>
      </c>
      <c r="G16">
        <v>110.15625</v>
      </c>
      <c r="H16">
        <v>110.09375</v>
      </c>
      <c r="I16">
        <v>110.125</v>
      </c>
      <c r="K16" s="8">
        <v>36589</v>
      </c>
      <c r="L16">
        <v>130.40625</v>
      </c>
      <c r="M16">
        <v>130.34375</v>
      </c>
      <c r="N16">
        <v>130.375</v>
      </c>
    </row>
    <row r="17" spans="1:14" x14ac:dyDescent="0.2">
      <c r="A17" s="8">
        <v>36592</v>
      </c>
      <c r="B17">
        <v>107.515625</v>
      </c>
      <c r="C17">
        <v>107.453125</v>
      </c>
      <c r="D17">
        <v>107.484375</v>
      </c>
      <c r="F17" s="8">
        <v>36592</v>
      </c>
      <c r="G17">
        <v>110.71875</v>
      </c>
      <c r="H17">
        <v>110.65625</v>
      </c>
      <c r="I17">
        <v>110.6875</v>
      </c>
      <c r="K17" s="8">
        <v>36592</v>
      </c>
      <c r="L17">
        <v>131.40625</v>
      </c>
      <c r="M17">
        <v>131.34375</v>
      </c>
      <c r="N17">
        <v>131.375</v>
      </c>
    </row>
    <row r="18" spans="1:14" x14ac:dyDescent="0.2">
      <c r="A18" s="8">
        <v>36593</v>
      </c>
      <c r="B18">
        <v>107.515625</v>
      </c>
      <c r="C18">
        <v>107.453125</v>
      </c>
      <c r="D18">
        <v>107.484375</v>
      </c>
      <c r="F18" s="8">
        <v>36593</v>
      </c>
      <c r="G18">
        <v>111.078125</v>
      </c>
      <c r="H18">
        <v>111.015625</v>
      </c>
      <c r="I18">
        <v>111.046875</v>
      </c>
      <c r="K18" s="8">
        <v>36593</v>
      </c>
      <c r="L18">
        <v>132.0625</v>
      </c>
      <c r="M18">
        <v>132</v>
      </c>
      <c r="N18">
        <v>132.03125</v>
      </c>
    </row>
    <row r="19" spans="1:14" x14ac:dyDescent="0.2">
      <c r="A19" s="8">
        <v>36594</v>
      </c>
      <c r="B19">
        <v>107.46875</v>
      </c>
      <c r="C19">
        <v>107.40625</v>
      </c>
      <c r="D19">
        <v>107.4375</v>
      </c>
      <c r="F19" s="8">
        <v>36594</v>
      </c>
      <c r="G19">
        <v>110.984375</v>
      </c>
      <c r="H19">
        <v>110.921875</v>
      </c>
      <c r="I19">
        <v>110.953125</v>
      </c>
      <c r="K19" s="8">
        <v>36594</v>
      </c>
      <c r="L19">
        <v>131.953125</v>
      </c>
      <c r="M19">
        <v>131.890625</v>
      </c>
      <c r="N19">
        <v>131.921875</v>
      </c>
    </row>
    <row r="20" spans="1:14" x14ac:dyDescent="0.2">
      <c r="A20" s="8">
        <v>36595</v>
      </c>
      <c r="B20">
        <v>107.53125</v>
      </c>
      <c r="C20">
        <v>107.46875</v>
      </c>
      <c r="D20">
        <v>107.5</v>
      </c>
      <c r="F20" s="8">
        <v>36595</v>
      </c>
      <c r="G20">
        <v>111.296875</v>
      </c>
      <c r="H20">
        <v>111.234375</v>
      </c>
      <c r="I20">
        <v>111.265625</v>
      </c>
      <c r="K20" s="8">
        <v>36595</v>
      </c>
      <c r="L20">
        <v>132.296875</v>
      </c>
      <c r="M20">
        <v>132.234375</v>
      </c>
      <c r="N20">
        <v>132.265625</v>
      </c>
    </row>
    <row r="21" spans="1:14" x14ac:dyDescent="0.2">
      <c r="A21" s="8">
        <v>36596</v>
      </c>
      <c r="B21">
        <v>107.390625</v>
      </c>
      <c r="C21">
        <v>107.328125</v>
      </c>
      <c r="D21">
        <v>107.359375</v>
      </c>
      <c r="F21" s="8">
        <v>36596</v>
      </c>
      <c r="G21">
        <v>110.71875</v>
      </c>
      <c r="H21">
        <v>110.65625</v>
      </c>
      <c r="I21">
        <v>110.6875</v>
      </c>
      <c r="K21" s="8">
        <v>36596</v>
      </c>
      <c r="L21">
        <v>131.296875</v>
      </c>
      <c r="M21">
        <v>131.234375</v>
      </c>
      <c r="N21">
        <v>131.265625</v>
      </c>
    </row>
    <row r="22" spans="1:14" x14ac:dyDescent="0.2">
      <c r="A22" s="8">
        <v>36599</v>
      </c>
      <c r="B22">
        <v>107.375</v>
      </c>
      <c r="C22">
        <v>107.3125</v>
      </c>
      <c r="D22">
        <v>107.34375</v>
      </c>
      <c r="F22" s="8">
        <v>36599</v>
      </c>
      <c r="G22">
        <v>110.765625</v>
      </c>
      <c r="H22">
        <v>110.703125</v>
      </c>
      <c r="I22">
        <v>110.734375</v>
      </c>
      <c r="K22" s="8">
        <v>36599</v>
      </c>
      <c r="L22">
        <v>131.46875</v>
      </c>
      <c r="M22">
        <v>131.40625</v>
      </c>
      <c r="N22">
        <v>131.4375</v>
      </c>
    </row>
    <row r="23" spans="1:14" x14ac:dyDescent="0.2">
      <c r="A23" s="8">
        <v>36600</v>
      </c>
      <c r="B23">
        <v>107.40625</v>
      </c>
      <c r="C23">
        <v>107.34375</v>
      </c>
      <c r="D23">
        <v>107.375</v>
      </c>
      <c r="F23" s="8">
        <v>36600</v>
      </c>
      <c r="G23">
        <v>111.34375</v>
      </c>
      <c r="H23">
        <v>111.28125</v>
      </c>
      <c r="I23">
        <v>111.3125</v>
      </c>
      <c r="K23" s="8">
        <v>36600</v>
      </c>
      <c r="L23">
        <v>132.5</v>
      </c>
      <c r="M23">
        <v>132.4375</v>
      </c>
      <c r="N23">
        <v>132.46875</v>
      </c>
    </row>
    <row r="24" spans="1:14" x14ac:dyDescent="0.2">
      <c r="A24" s="8">
        <v>36601</v>
      </c>
      <c r="B24">
        <v>107.375</v>
      </c>
      <c r="C24">
        <v>107.3125</v>
      </c>
      <c r="D24">
        <v>107.34375</v>
      </c>
      <c r="F24" s="8">
        <v>36601</v>
      </c>
      <c r="G24">
        <v>111.109375</v>
      </c>
      <c r="H24">
        <v>111.046875</v>
      </c>
      <c r="I24">
        <v>111.078125</v>
      </c>
      <c r="K24" s="8">
        <v>36601</v>
      </c>
      <c r="L24">
        <v>132.203125</v>
      </c>
      <c r="M24">
        <v>132.140625</v>
      </c>
      <c r="N24">
        <v>132.171875</v>
      </c>
    </row>
    <row r="25" spans="1:14" x14ac:dyDescent="0.2">
      <c r="A25" s="8">
        <v>36602</v>
      </c>
      <c r="B25">
        <v>107.328125</v>
      </c>
      <c r="C25">
        <v>107.265625</v>
      </c>
      <c r="D25">
        <v>107.296875</v>
      </c>
      <c r="F25" s="8">
        <v>36602</v>
      </c>
      <c r="G25">
        <v>110.734375</v>
      </c>
      <c r="H25">
        <v>110.671875</v>
      </c>
      <c r="I25">
        <v>110.703125</v>
      </c>
      <c r="K25" s="8">
        <v>36602</v>
      </c>
      <c r="L25">
        <v>131.59375</v>
      </c>
      <c r="M25">
        <v>131.53125</v>
      </c>
      <c r="N25">
        <v>131.5625</v>
      </c>
    </row>
    <row r="26" spans="1:14" x14ac:dyDescent="0.2">
      <c r="A26" s="8">
        <v>36603</v>
      </c>
      <c r="B26">
        <v>107.296875</v>
      </c>
      <c r="C26">
        <v>107.234375</v>
      </c>
      <c r="D26">
        <v>107.265625</v>
      </c>
      <c r="F26" s="8">
        <v>36603</v>
      </c>
      <c r="G26">
        <v>110.625</v>
      </c>
      <c r="H26">
        <v>110.5625</v>
      </c>
      <c r="I26">
        <v>110.59375</v>
      </c>
      <c r="K26" s="8">
        <v>36603</v>
      </c>
      <c r="L26">
        <v>131.484375</v>
      </c>
      <c r="M26">
        <v>131.421875</v>
      </c>
      <c r="N26">
        <v>131.453125</v>
      </c>
    </row>
    <row r="27" spans="1:14" x14ac:dyDescent="0.2">
      <c r="A27" s="8">
        <v>36606</v>
      </c>
      <c r="B27">
        <v>107.328125</v>
      </c>
      <c r="C27">
        <v>107.265625</v>
      </c>
      <c r="D27">
        <v>107.296875</v>
      </c>
      <c r="F27" s="8">
        <v>36606</v>
      </c>
      <c r="G27">
        <v>111.0625</v>
      </c>
      <c r="H27">
        <v>111</v>
      </c>
      <c r="I27">
        <v>111.03125</v>
      </c>
      <c r="K27" s="8">
        <v>36606</v>
      </c>
      <c r="L27">
        <v>132.15625</v>
      </c>
      <c r="M27">
        <v>132.09375</v>
      </c>
      <c r="N27">
        <v>132.125</v>
      </c>
    </row>
    <row r="28" spans="1:14" x14ac:dyDescent="0.2">
      <c r="A28" s="8">
        <v>36607</v>
      </c>
      <c r="B28">
        <v>107.34375</v>
      </c>
      <c r="C28">
        <v>107.28125</v>
      </c>
      <c r="D28">
        <v>107.3125</v>
      </c>
      <c r="F28" s="8">
        <v>36607</v>
      </c>
      <c r="G28">
        <v>111.140625</v>
      </c>
      <c r="H28">
        <v>111.078125</v>
      </c>
      <c r="I28">
        <v>111.109375</v>
      </c>
      <c r="K28" s="8">
        <v>36607</v>
      </c>
      <c r="L28">
        <v>132.453125</v>
      </c>
      <c r="M28">
        <v>132.390625</v>
      </c>
      <c r="N28">
        <v>132.421875</v>
      </c>
    </row>
    <row r="29" spans="1:14" x14ac:dyDescent="0.2">
      <c r="A29" s="8">
        <v>36608</v>
      </c>
      <c r="B29">
        <v>107.328125</v>
      </c>
      <c r="C29">
        <v>107.265625</v>
      </c>
      <c r="D29">
        <v>107.296875</v>
      </c>
      <c r="F29" s="8">
        <v>36608</v>
      </c>
      <c r="G29">
        <v>111.046875</v>
      </c>
      <c r="H29">
        <v>110.984375</v>
      </c>
      <c r="I29">
        <v>111.015625</v>
      </c>
      <c r="K29" s="8">
        <v>36608</v>
      </c>
      <c r="L29">
        <v>132.234375</v>
      </c>
      <c r="M29">
        <v>132.171875</v>
      </c>
      <c r="N29">
        <v>132.203125</v>
      </c>
    </row>
    <row r="30" spans="1:14" x14ac:dyDescent="0.2">
      <c r="A30" s="8">
        <v>36609</v>
      </c>
      <c r="B30">
        <v>107.328125</v>
      </c>
      <c r="C30">
        <v>107.265625</v>
      </c>
      <c r="D30">
        <v>107.296875</v>
      </c>
      <c r="F30" s="8">
        <v>36609</v>
      </c>
      <c r="G30">
        <v>110.890625</v>
      </c>
      <c r="H30">
        <v>110.828125</v>
      </c>
      <c r="I30">
        <v>110.859375</v>
      </c>
      <c r="K30" s="8">
        <v>36609</v>
      </c>
      <c r="L30">
        <v>131.703125</v>
      </c>
      <c r="M30">
        <v>131.640625</v>
      </c>
      <c r="N30">
        <v>131.671875</v>
      </c>
    </row>
    <row r="31" spans="1:14" x14ac:dyDescent="0.2">
      <c r="A31" s="8">
        <v>36610</v>
      </c>
      <c r="B31">
        <v>107.1875</v>
      </c>
      <c r="C31">
        <v>107.125</v>
      </c>
      <c r="D31">
        <v>107.15625</v>
      </c>
      <c r="F31" s="8">
        <v>36610</v>
      </c>
      <c r="G31">
        <v>110.203125</v>
      </c>
      <c r="H31">
        <v>110.140625</v>
      </c>
      <c r="I31">
        <v>110.171875</v>
      </c>
      <c r="K31" s="8">
        <v>36610</v>
      </c>
      <c r="L31">
        <v>130.34375</v>
      </c>
      <c r="M31">
        <v>130.28125</v>
      </c>
      <c r="N31">
        <v>130.3125</v>
      </c>
    </row>
    <row r="32" spans="1:14" x14ac:dyDescent="0.2">
      <c r="A32" s="8">
        <v>36613</v>
      </c>
      <c r="B32">
        <v>107.125</v>
      </c>
      <c r="C32">
        <v>107.0625</v>
      </c>
      <c r="D32">
        <v>107.09375</v>
      </c>
      <c r="F32" s="8">
        <v>36613</v>
      </c>
      <c r="G32">
        <v>109.796875</v>
      </c>
      <c r="H32">
        <v>109.734375</v>
      </c>
      <c r="I32">
        <v>109.765625</v>
      </c>
      <c r="K32" s="8">
        <v>36613</v>
      </c>
      <c r="L32">
        <v>129.484375</v>
      </c>
      <c r="M32">
        <v>129.421875</v>
      </c>
      <c r="N32">
        <v>129.453125</v>
      </c>
    </row>
    <row r="33" spans="1:14" x14ac:dyDescent="0.2">
      <c r="A33" s="8">
        <v>36614</v>
      </c>
      <c r="B33">
        <v>107.09375</v>
      </c>
      <c r="C33">
        <v>107.03125</v>
      </c>
      <c r="D33">
        <v>107.0625</v>
      </c>
      <c r="F33" s="8">
        <v>36614</v>
      </c>
      <c r="G33">
        <v>109.765625</v>
      </c>
      <c r="H33">
        <v>109.703125</v>
      </c>
      <c r="I33">
        <v>109.734375</v>
      </c>
      <c r="K33" s="8">
        <v>36614</v>
      </c>
      <c r="L33">
        <v>129.390625</v>
      </c>
      <c r="M33">
        <v>129.328125</v>
      </c>
      <c r="N33">
        <v>129.359375</v>
      </c>
    </row>
    <row r="34" spans="1:14" x14ac:dyDescent="0.2">
      <c r="A34" s="8">
        <v>36615</v>
      </c>
      <c r="B34">
        <v>107.140625</v>
      </c>
      <c r="C34">
        <v>107.078125</v>
      </c>
      <c r="D34">
        <v>107.109375</v>
      </c>
      <c r="F34" s="8">
        <v>36615</v>
      </c>
      <c r="G34">
        <v>110.25</v>
      </c>
      <c r="H34">
        <v>110.1875</v>
      </c>
      <c r="I34">
        <v>110.21875</v>
      </c>
      <c r="K34" s="8">
        <v>36615</v>
      </c>
      <c r="L34">
        <v>130.078125</v>
      </c>
      <c r="M34">
        <v>130.015625</v>
      </c>
      <c r="N34">
        <v>130.046875</v>
      </c>
    </row>
    <row r="35" spans="1:14" x14ac:dyDescent="0.2">
      <c r="A35" s="8">
        <v>36616</v>
      </c>
      <c r="B35">
        <v>107.0625</v>
      </c>
      <c r="C35">
        <v>107</v>
      </c>
      <c r="D35">
        <v>107.03125</v>
      </c>
      <c r="F35" s="8">
        <v>36616</v>
      </c>
      <c r="G35">
        <v>109.890625</v>
      </c>
      <c r="H35">
        <v>109.828125</v>
      </c>
      <c r="I35">
        <v>109.859375</v>
      </c>
      <c r="K35" s="8">
        <v>36616</v>
      </c>
      <c r="L35">
        <v>129.546875</v>
      </c>
      <c r="M35">
        <v>129.484375</v>
      </c>
      <c r="N35">
        <v>129.515625</v>
      </c>
    </row>
    <row r="36" spans="1:14" x14ac:dyDescent="0.2">
      <c r="A36" s="8">
        <v>36617</v>
      </c>
      <c r="B36">
        <v>106.734375</v>
      </c>
      <c r="C36">
        <v>106.671875</v>
      </c>
      <c r="D36">
        <v>106.703125</v>
      </c>
      <c r="F36" s="8">
        <v>36617</v>
      </c>
      <c r="G36">
        <v>107.890625</v>
      </c>
      <c r="H36">
        <v>107.828125</v>
      </c>
      <c r="I36">
        <v>107.859375</v>
      </c>
      <c r="K36" s="8">
        <v>36617</v>
      </c>
      <c r="L36">
        <v>126.3125</v>
      </c>
      <c r="M36">
        <v>126.25</v>
      </c>
      <c r="N36">
        <v>126.28125</v>
      </c>
    </row>
    <row r="37" spans="1:14" x14ac:dyDescent="0.2">
      <c r="A37" s="8">
        <v>36620</v>
      </c>
      <c r="B37">
        <v>106.6875</v>
      </c>
      <c r="C37">
        <v>106.625</v>
      </c>
      <c r="D37">
        <v>106.65625</v>
      </c>
      <c r="F37" s="8">
        <v>36620</v>
      </c>
      <c r="G37">
        <v>107.453125</v>
      </c>
      <c r="H37">
        <v>107.390625</v>
      </c>
      <c r="I37">
        <v>107.421875</v>
      </c>
      <c r="K37" s="8">
        <v>36620</v>
      </c>
      <c r="L37">
        <v>125.421875</v>
      </c>
      <c r="M37">
        <v>125.359375</v>
      </c>
      <c r="N37">
        <v>125.390625</v>
      </c>
    </row>
    <row r="38" spans="1:14" x14ac:dyDescent="0.2">
      <c r="A38" s="8">
        <v>36621</v>
      </c>
      <c r="B38">
        <v>106.75</v>
      </c>
      <c r="C38">
        <v>106.6875</v>
      </c>
      <c r="D38">
        <v>106.71875</v>
      </c>
      <c r="F38" s="8">
        <v>36621</v>
      </c>
      <c r="G38">
        <v>107.859375</v>
      </c>
      <c r="H38">
        <v>107.796875</v>
      </c>
      <c r="I38">
        <v>107.828125</v>
      </c>
      <c r="K38" s="8">
        <v>36621</v>
      </c>
      <c r="L38">
        <v>126.09375</v>
      </c>
      <c r="M38">
        <v>126.03125</v>
      </c>
      <c r="N38">
        <v>126.0625</v>
      </c>
    </row>
    <row r="39" spans="1:14" x14ac:dyDescent="0.2">
      <c r="A39" s="8">
        <v>36622</v>
      </c>
      <c r="B39">
        <v>106.734375</v>
      </c>
      <c r="C39">
        <v>106.671875</v>
      </c>
      <c r="D39">
        <v>106.703125</v>
      </c>
      <c r="F39" s="8">
        <v>36622</v>
      </c>
      <c r="G39">
        <v>107.8125</v>
      </c>
      <c r="H39">
        <v>107.75</v>
      </c>
      <c r="I39">
        <v>107.78125</v>
      </c>
      <c r="K39" s="8">
        <v>36622</v>
      </c>
      <c r="L39">
        <v>125.9375</v>
      </c>
      <c r="M39">
        <v>125.875</v>
      </c>
      <c r="N39">
        <v>125.90625</v>
      </c>
    </row>
    <row r="40" spans="1:14" x14ac:dyDescent="0.2">
      <c r="A40" s="8">
        <v>36623</v>
      </c>
      <c r="B40">
        <v>106.640625</v>
      </c>
      <c r="C40">
        <v>106.578125</v>
      </c>
      <c r="D40">
        <v>106.609375</v>
      </c>
      <c r="F40" s="8">
        <v>36623</v>
      </c>
      <c r="G40">
        <v>107.46875</v>
      </c>
      <c r="H40">
        <v>107.40625</v>
      </c>
      <c r="I40">
        <v>107.4375</v>
      </c>
      <c r="K40" s="8">
        <v>36623</v>
      </c>
      <c r="L40">
        <v>125.453125</v>
      </c>
      <c r="M40">
        <v>125.390625</v>
      </c>
      <c r="N40">
        <v>125.421875</v>
      </c>
    </row>
    <row r="41" spans="1:14" x14ac:dyDescent="0.2">
      <c r="A41" s="8">
        <v>36624</v>
      </c>
      <c r="B41">
        <v>106.640625</v>
      </c>
      <c r="C41">
        <v>106.578125</v>
      </c>
      <c r="D41">
        <v>106.609375</v>
      </c>
      <c r="F41" s="8">
        <v>36624</v>
      </c>
      <c r="G41">
        <v>107.515625</v>
      </c>
      <c r="H41">
        <v>107.453125</v>
      </c>
      <c r="I41">
        <v>107.484375</v>
      </c>
      <c r="K41" s="8">
        <v>36624</v>
      </c>
      <c r="L41">
        <v>125.453125</v>
      </c>
      <c r="M41">
        <v>125.390625</v>
      </c>
      <c r="N41">
        <v>125.421875</v>
      </c>
    </row>
    <row r="42" spans="1:14" x14ac:dyDescent="0.2">
      <c r="A42" s="8">
        <v>36627</v>
      </c>
      <c r="B42">
        <v>106.640625</v>
      </c>
      <c r="C42">
        <v>106.578125</v>
      </c>
      <c r="D42">
        <v>106.609375</v>
      </c>
      <c r="F42" s="8">
        <v>36627</v>
      </c>
      <c r="G42">
        <v>107.25</v>
      </c>
      <c r="H42">
        <v>107.1875</v>
      </c>
      <c r="I42">
        <v>107.21875</v>
      </c>
      <c r="K42" s="8">
        <v>36627</v>
      </c>
      <c r="L42">
        <v>124.921875</v>
      </c>
      <c r="M42">
        <v>124.859375</v>
      </c>
      <c r="N42">
        <v>124.890625</v>
      </c>
    </row>
    <row r="43" spans="1:14" x14ac:dyDescent="0.2">
      <c r="A43" s="8">
        <v>36628</v>
      </c>
      <c r="B43">
        <v>106.484375</v>
      </c>
      <c r="C43">
        <v>106.421875</v>
      </c>
      <c r="D43">
        <v>106.453125</v>
      </c>
      <c r="F43" s="8">
        <v>36628</v>
      </c>
      <c r="G43">
        <v>106.421875</v>
      </c>
      <c r="H43">
        <v>106.359375</v>
      </c>
      <c r="I43">
        <v>106.390625</v>
      </c>
      <c r="K43" s="8">
        <v>36628</v>
      </c>
      <c r="L43">
        <v>123.53125</v>
      </c>
      <c r="M43">
        <v>123.46875</v>
      </c>
      <c r="N43">
        <v>123.5</v>
      </c>
    </row>
    <row r="44" spans="1:14" x14ac:dyDescent="0.2">
      <c r="A44" s="8">
        <v>36629</v>
      </c>
      <c r="B44">
        <v>106.40625</v>
      </c>
      <c r="C44">
        <v>106.34375</v>
      </c>
      <c r="D44">
        <v>106.375</v>
      </c>
      <c r="F44" s="8">
        <v>36629</v>
      </c>
      <c r="G44">
        <v>106.234375</v>
      </c>
      <c r="H44">
        <v>106.171875</v>
      </c>
      <c r="I44">
        <v>106.203125</v>
      </c>
      <c r="K44" s="8">
        <v>36629</v>
      </c>
      <c r="L44">
        <v>123.328125</v>
      </c>
      <c r="M44">
        <v>123.265625</v>
      </c>
      <c r="N44">
        <v>123.296875</v>
      </c>
    </row>
    <row r="45" spans="1:14" x14ac:dyDescent="0.2">
      <c r="A45" s="8">
        <v>36630</v>
      </c>
      <c r="B45">
        <v>106.40625</v>
      </c>
      <c r="C45">
        <v>106.34375</v>
      </c>
      <c r="D45">
        <v>106.375</v>
      </c>
      <c r="F45" s="8">
        <v>36630</v>
      </c>
      <c r="G45">
        <v>106.03125</v>
      </c>
      <c r="H45">
        <v>105.96875</v>
      </c>
      <c r="I45">
        <v>106</v>
      </c>
      <c r="K45" s="8">
        <v>36630</v>
      </c>
      <c r="L45">
        <v>122.65625</v>
      </c>
      <c r="M45">
        <v>122.59375</v>
      </c>
      <c r="N45">
        <v>122.625</v>
      </c>
    </row>
    <row r="46" spans="1:14" x14ac:dyDescent="0.2">
      <c r="A46" s="8">
        <v>36631</v>
      </c>
      <c r="B46">
        <v>106.484375</v>
      </c>
      <c r="C46">
        <v>106.421875</v>
      </c>
      <c r="D46">
        <v>106.453125</v>
      </c>
      <c r="F46" s="8">
        <v>36631</v>
      </c>
      <c r="G46">
        <v>106.484375</v>
      </c>
      <c r="H46">
        <v>106.421875</v>
      </c>
      <c r="I46">
        <v>106.453125</v>
      </c>
      <c r="K46" s="8">
        <v>36631</v>
      </c>
      <c r="L46">
        <v>123.34375</v>
      </c>
      <c r="M46">
        <v>123.28125</v>
      </c>
      <c r="N46">
        <v>123.3125</v>
      </c>
    </row>
    <row r="47" spans="1:14" x14ac:dyDescent="0.2">
      <c r="A47" s="8">
        <v>36634</v>
      </c>
      <c r="B47">
        <v>106.390625</v>
      </c>
      <c r="C47">
        <v>106.328125</v>
      </c>
      <c r="D47">
        <v>106.359375</v>
      </c>
      <c r="F47" s="8">
        <v>36634</v>
      </c>
      <c r="G47">
        <v>106.15625</v>
      </c>
      <c r="H47">
        <v>106.09375</v>
      </c>
      <c r="I47">
        <v>106.125</v>
      </c>
      <c r="K47" s="8">
        <v>36634</v>
      </c>
      <c r="L47">
        <v>122.828125</v>
      </c>
      <c r="M47">
        <v>122.765625</v>
      </c>
      <c r="N47">
        <v>122.796875</v>
      </c>
    </row>
    <row r="48" spans="1:14" x14ac:dyDescent="0.2">
      <c r="A48" s="8">
        <v>36635</v>
      </c>
      <c r="B48">
        <v>106.21875</v>
      </c>
      <c r="C48">
        <v>106.15625</v>
      </c>
      <c r="D48">
        <v>106.1875</v>
      </c>
      <c r="F48" s="8">
        <v>36635</v>
      </c>
      <c r="G48">
        <v>105.578125</v>
      </c>
      <c r="H48">
        <v>105.515625</v>
      </c>
      <c r="I48">
        <v>105.546875</v>
      </c>
      <c r="K48" s="8">
        <v>36635</v>
      </c>
      <c r="L48">
        <v>122.0625</v>
      </c>
      <c r="M48">
        <v>122</v>
      </c>
      <c r="N48">
        <v>122.03125</v>
      </c>
    </row>
    <row r="49" spans="1:14" x14ac:dyDescent="0.2">
      <c r="A49" s="8">
        <v>36636</v>
      </c>
      <c r="B49">
        <v>106.203125</v>
      </c>
      <c r="C49">
        <v>106.140625</v>
      </c>
      <c r="D49">
        <v>106.171875</v>
      </c>
      <c r="F49" s="8">
        <v>36636</v>
      </c>
      <c r="G49">
        <v>105.765625</v>
      </c>
      <c r="H49">
        <v>105.703125</v>
      </c>
      <c r="I49">
        <v>105.734375</v>
      </c>
      <c r="K49" s="8">
        <v>36636</v>
      </c>
      <c r="L49">
        <v>122.640625</v>
      </c>
      <c r="M49">
        <v>122.578125</v>
      </c>
      <c r="N49">
        <v>122.609375</v>
      </c>
    </row>
    <row r="50" spans="1:14" x14ac:dyDescent="0.2">
      <c r="A50" s="8">
        <v>36637</v>
      </c>
      <c r="B50">
        <v>106.234375</v>
      </c>
      <c r="C50">
        <v>106.171875</v>
      </c>
      <c r="D50">
        <v>106.203125</v>
      </c>
      <c r="F50" s="8">
        <v>36637</v>
      </c>
      <c r="G50">
        <v>106.0625</v>
      </c>
      <c r="H50">
        <v>106</v>
      </c>
      <c r="I50">
        <v>106.03125</v>
      </c>
      <c r="K50" s="8">
        <v>36637</v>
      </c>
      <c r="L50">
        <v>123.09375</v>
      </c>
      <c r="M50">
        <v>123.03125</v>
      </c>
      <c r="N50">
        <v>123.0625</v>
      </c>
    </row>
    <row r="51" spans="1:14" x14ac:dyDescent="0.2">
      <c r="A51" s="8">
        <v>36638</v>
      </c>
      <c r="B51">
        <v>106.046875</v>
      </c>
      <c r="C51">
        <v>105.984375</v>
      </c>
      <c r="D51">
        <v>106.015625</v>
      </c>
      <c r="F51" s="8">
        <v>36638</v>
      </c>
      <c r="G51">
        <v>105.40625</v>
      </c>
      <c r="H51">
        <v>105.34375</v>
      </c>
      <c r="I51">
        <v>105.375</v>
      </c>
      <c r="K51" s="8">
        <v>36638</v>
      </c>
      <c r="L51">
        <v>122.328125</v>
      </c>
      <c r="M51">
        <v>122.265625</v>
      </c>
      <c r="N51">
        <v>122.296875</v>
      </c>
    </row>
    <row r="52" spans="1:14" x14ac:dyDescent="0.2">
      <c r="A52" s="8">
        <v>36641</v>
      </c>
      <c r="B52">
        <v>106.046875</v>
      </c>
      <c r="C52">
        <v>105.984375</v>
      </c>
      <c r="D52">
        <v>106.015625</v>
      </c>
      <c r="F52" s="8">
        <v>36641</v>
      </c>
      <c r="G52">
        <v>105.515625</v>
      </c>
      <c r="H52">
        <v>105.453125</v>
      </c>
      <c r="I52">
        <v>105.484375</v>
      </c>
      <c r="K52" s="8">
        <v>36641</v>
      </c>
      <c r="L52">
        <v>122.53125</v>
      </c>
      <c r="M52">
        <v>122.46875</v>
      </c>
      <c r="N52">
        <v>122.5</v>
      </c>
    </row>
    <row r="53" spans="1:14" x14ac:dyDescent="0.2">
      <c r="A53" s="8">
        <v>36642</v>
      </c>
      <c r="B53">
        <v>106.140625</v>
      </c>
      <c r="C53">
        <v>106.078125</v>
      </c>
      <c r="D53">
        <v>106.109375</v>
      </c>
      <c r="F53" s="8">
        <v>36642</v>
      </c>
      <c r="G53">
        <v>105.90625</v>
      </c>
      <c r="H53">
        <v>105.84375</v>
      </c>
      <c r="I53">
        <v>105.875</v>
      </c>
      <c r="K53" s="8">
        <v>36642</v>
      </c>
      <c r="L53">
        <v>123.0625</v>
      </c>
      <c r="M53">
        <v>123</v>
      </c>
      <c r="N53">
        <v>123.03125</v>
      </c>
    </row>
    <row r="54" spans="1:14" x14ac:dyDescent="0.2">
      <c r="A54" s="8">
        <v>36643</v>
      </c>
      <c r="B54">
        <v>105.984375</v>
      </c>
      <c r="C54">
        <v>105.921875</v>
      </c>
      <c r="D54">
        <v>105.953125</v>
      </c>
      <c r="F54" s="8">
        <v>36643</v>
      </c>
      <c r="G54">
        <v>105.125</v>
      </c>
      <c r="H54">
        <v>105.0625</v>
      </c>
      <c r="I54">
        <v>105.09375</v>
      </c>
      <c r="K54" s="8">
        <v>36643</v>
      </c>
      <c r="L54">
        <v>121.703125</v>
      </c>
      <c r="M54">
        <v>121.640625</v>
      </c>
      <c r="N54">
        <v>121.671875</v>
      </c>
    </row>
    <row r="55" spans="1:14" x14ac:dyDescent="0.2">
      <c r="A55" s="8">
        <v>36644</v>
      </c>
      <c r="B55">
        <v>105.9375</v>
      </c>
      <c r="C55">
        <v>105.875</v>
      </c>
      <c r="D55">
        <v>105.90625</v>
      </c>
      <c r="F55" s="8">
        <v>36644</v>
      </c>
      <c r="G55">
        <v>104.875</v>
      </c>
      <c r="H55">
        <v>104.8125</v>
      </c>
      <c r="I55">
        <v>104.84375</v>
      </c>
      <c r="K55" s="8">
        <v>36644</v>
      </c>
      <c r="L55">
        <v>121.1875</v>
      </c>
      <c r="M55">
        <v>121.125</v>
      </c>
      <c r="N55">
        <v>121.15625</v>
      </c>
    </row>
    <row r="56" spans="1:14" x14ac:dyDescent="0.2">
      <c r="A56" s="8">
        <v>36645</v>
      </c>
      <c r="B56">
        <v>105.9375</v>
      </c>
      <c r="C56">
        <v>105.875</v>
      </c>
      <c r="D56">
        <v>105.90625</v>
      </c>
      <c r="F56" s="8">
        <v>36645</v>
      </c>
      <c r="G56">
        <v>105.140625</v>
      </c>
      <c r="H56">
        <v>105.078125</v>
      </c>
      <c r="I56">
        <v>105.109375</v>
      </c>
      <c r="K56" s="8">
        <v>36645</v>
      </c>
      <c r="L56">
        <v>121.65625</v>
      </c>
      <c r="M56">
        <v>121.59375</v>
      </c>
      <c r="N56">
        <v>121.625</v>
      </c>
    </row>
    <row r="57" spans="1:14" x14ac:dyDescent="0.2">
      <c r="A57" s="8">
        <v>36648</v>
      </c>
      <c r="B57">
        <v>105.9375</v>
      </c>
      <c r="C57">
        <v>105.875</v>
      </c>
      <c r="D57">
        <v>105.90625</v>
      </c>
      <c r="F57" s="8">
        <v>36648</v>
      </c>
      <c r="G57">
        <v>105.15625</v>
      </c>
      <c r="H57">
        <v>105.09375</v>
      </c>
      <c r="I57">
        <v>105.125</v>
      </c>
      <c r="K57" s="8">
        <v>36648</v>
      </c>
      <c r="L57">
        <v>121.859375</v>
      </c>
      <c r="M57">
        <v>121.796875</v>
      </c>
      <c r="N57">
        <v>121.828125</v>
      </c>
    </row>
    <row r="58" spans="1:14" x14ac:dyDescent="0.2">
      <c r="A58" s="8">
        <v>36649</v>
      </c>
      <c r="B58">
        <v>105.90625</v>
      </c>
      <c r="C58">
        <v>105.84375</v>
      </c>
      <c r="D58">
        <v>105.875</v>
      </c>
      <c r="F58" s="8">
        <v>36649</v>
      </c>
      <c r="G58">
        <v>104.78125</v>
      </c>
      <c r="H58">
        <v>104.71875</v>
      </c>
      <c r="I58">
        <v>104.75</v>
      </c>
      <c r="K58" s="8">
        <v>36649</v>
      </c>
      <c r="L58">
        <v>120.953125</v>
      </c>
      <c r="M58">
        <v>120.890625</v>
      </c>
      <c r="N58">
        <v>120.921875</v>
      </c>
    </row>
    <row r="59" spans="1:14" x14ac:dyDescent="0.2">
      <c r="A59" s="8">
        <v>36650</v>
      </c>
      <c r="B59">
        <v>105.921875</v>
      </c>
      <c r="C59">
        <v>105.859375</v>
      </c>
      <c r="D59">
        <v>105.890625</v>
      </c>
      <c r="F59" s="8">
        <v>36650</v>
      </c>
      <c r="G59">
        <v>104.6875</v>
      </c>
      <c r="H59">
        <v>104.625</v>
      </c>
      <c r="I59">
        <v>104.65625</v>
      </c>
      <c r="K59" s="8">
        <v>36650</v>
      </c>
      <c r="L59">
        <v>120.6875</v>
      </c>
      <c r="M59">
        <v>120.625</v>
      </c>
      <c r="N59">
        <v>120.65625</v>
      </c>
    </row>
    <row r="60" spans="1:14" x14ac:dyDescent="0.2">
      <c r="A60" s="8">
        <v>36651</v>
      </c>
      <c r="B60">
        <v>105.84375</v>
      </c>
      <c r="C60">
        <v>105.78125</v>
      </c>
      <c r="D60">
        <v>105.8125</v>
      </c>
      <c r="F60" s="8">
        <v>36651</v>
      </c>
      <c r="G60">
        <v>104.546875</v>
      </c>
      <c r="H60">
        <v>104.484375</v>
      </c>
      <c r="I60">
        <v>104.515625</v>
      </c>
      <c r="K60" s="8">
        <v>36651</v>
      </c>
      <c r="L60">
        <v>120.453125</v>
      </c>
      <c r="M60">
        <v>120.390625</v>
      </c>
      <c r="N60">
        <v>120.421875</v>
      </c>
    </row>
    <row r="61" spans="1:14" x14ac:dyDescent="0.2">
      <c r="A61" s="8">
        <v>36652</v>
      </c>
      <c r="B61">
        <v>105.53125</v>
      </c>
      <c r="C61">
        <v>105.46875</v>
      </c>
      <c r="D61">
        <v>105.5</v>
      </c>
      <c r="F61" s="8">
        <v>36652</v>
      </c>
      <c r="G61">
        <v>103.21875</v>
      </c>
      <c r="H61">
        <v>103.15625</v>
      </c>
      <c r="I61">
        <v>103.1875</v>
      </c>
      <c r="K61" s="8">
        <v>36652</v>
      </c>
      <c r="L61">
        <v>118.6875</v>
      </c>
      <c r="M61">
        <v>118.625</v>
      </c>
      <c r="N61">
        <v>118.65625</v>
      </c>
    </row>
    <row r="62" spans="1:14" x14ac:dyDescent="0.2">
      <c r="A62" s="8">
        <v>36655</v>
      </c>
      <c r="B62">
        <v>105.5625</v>
      </c>
      <c r="C62">
        <v>105.5</v>
      </c>
      <c r="D62">
        <v>105.53125</v>
      </c>
      <c r="F62" s="8">
        <v>36655</v>
      </c>
      <c r="G62">
        <v>103.171875</v>
      </c>
      <c r="H62">
        <v>103.109375</v>
      </c>
      <c r="I62">
        <v>103.140625</v>
      </c>
      <c r="K62" s="8">
        <v>36655</v>
      </c>
      <c r="L62">
        <v>118.375</v>
      </c>
      <c r="M62">
        <v>118.3125</v>
      </c>
      <c r="N62">
        <v>118.34375</v>
      </c>
    </row>
    <row r="63" spans="1:14" x14ac:dyDescent="0.2">
      <c r="A63" s="8">
        <v>36656</v>
      </c>
      <c r="B63">
        <v>105.578125</v>
      </c>
      <c r="C63">
        <v>105.515625</v>
      </c>
      <c r="D63">
        <v>105.546875</v>
      </c>
      <c r="F63" s="8">
        <v>36656</v>
      </c>
      <c r="G63">
        <v>103.46875</v>
      </c>
      <c r="H63">
        <v>103.40625</v>
      </c>
      <c r="I63">
        <v>103.4375</v>
      </c>
      <c r="K63" s="8">
        <v>36656</v>
      </c>
      <c r="L63">
        <v>118.96875</v>
      </c>
      <c r="M63">
        <v>118.90625</v>
      </c>
      <c r="N63">
        <v>118.9375</v>
      </c>
    </row>
    <row r="64" spans="1:14" x14ac:dyDescent="0.2">
      <c r="A64" s="8">
        <v>36657</v>
      </c>
      <c r="B64">
        <v>105.53125</v>
      </c>
      <c r="C64">
        <v>105.46875</v>
      </c>
      <c r="D64">
        <v>105.5</v>
      </c>
      <c r="F64" s="8">
        <v>36657</v>
      </c>
      <c r="G64">
        <v>103.171875</v>
      </c>
      <c r="H64">
        <v>103.109375</v>
      </c>
      <c r="I64">
        <v>103.140625</v>
      </c>
      <c r="K64" s="8">
        <v>36657</v>
      </c>
      <c r="L64">
        <v>118.1875</v>
      </c>
      <c r="M64">
        <v>118.125</v>
      </c>
      <c r="N64">
        <v>118.15625</v>
      </c>
    </row>
    <row r="65" spans="1:14" x14ac:dyDescent="0.2">
      <c r="A65" s="8">
        <v>36658</v>
      </c>
      <c r="B65">
        <v>105.421875</v>
      </c>
      <c r="C65">
        <v>105.359375</v>
      </c>
      <c r="D65">
        <v>105.390625</v>
      </c>
      <c r="F65" s="8">
        <v>36658</v>
      </c>
      <c r="G65">
        <v>102.90625</v>
      </c>
      <c r="H65">
        <v>102.84375</v>
      </c>
      <c r="I65">
        <v>102.875</v>
      </c>
      <c r="K65" s="8">
        <v>36658</v>
      </c>
      <c r="L65">
        <v>117.671875</v>
      </c>
      <c r="M65">
        <v>117.609375</v>
      </c>
      <c r="N65">
        <v>117.640625</v>
      </c>
    </row>
    <row r="66" spans="1:14" x14ac:dyDescent="0.2">
      <c r="A66" s="8">
        <v>36659</v>
      </c>
      <c r="B66">
        <v>105.59375</v>
      </c>
      <c r="C66">
        <v>105.53125</v>
      </c>
      <c r="D66">
        <v>105.5625</v>
      </c>
      <c r="F66" s="8">
        <v>36659</v>
      </c>
      <c r="G66">
        <v>103.5</v>
      </c>
      <c r="H66">
        <v>103.4375</v>
      </c>
      <c r="I66">
        <v>103.46875</v>
      </c>
      <c r="K66" s="8">
        <v>36659</v>
      </c>
      <c r="L66">
        <v>118.765625</v>
      </c>
      <c r="M66">
        <v>118.703125</v>
      </c>
      <c r="N66">
        <v>118.734375</v>
      </c>
    </row>
    <row r="67" spans="1:14" x14ac:dyDescent="0.2">
      <c r="A67" s="8">
        <v>36662</v>
      </c>
      <c r="B67">
        <v>105.609375</v>
      </c>
      <c r="C67">
        <v>105.546875</v>
      </c>
      <c r="D67">
        <v>105.578125</v>
      </c>
      <c r="F67" s="8">
        <v>36662</v>
      </c>
      <c r="G67">
        <v>104.109375</v>
      </c>
      <c r="H67">
        <v>104.046875</v>
      </c>
      <c r="I67">
        <v>104.078125</v>
      </c>
      <c r="K67" s="8">
        <v>36662</v>
      </c>
      <c r="L67">
        <v>119.796875</v>
      </c>
      <c r="M67">
        <v>119.734375</v>
      </c>
      <c r="N67">
        <v>119.765625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ublished="0"/>
  <dimension ref="A1"/>
  <sheetViews>
    <sheetView workbookViewId="0"/>
  </sheetViews>
  <sheetFormatPr defaultRowHeight="12.75" x14ac:dyDescent="0.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Vasicek</vt:lpstr>
      <vt:lpstr>2F CIR</vt:lpstr>
      <vt:lpstr>Bloomberg Prices</vt:lpstr>
      <vt:lpstr>Sheet4</vt:lpstr>
    </vt:vector>
  </TitlesOfParts>
  <Company>University of Arizona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Lamoureux</dc:creator>
  <cp:lastModifiedBy>Christopher Lamoureux</cp:lastModifiedBy>
  <dcterms:created xsi:type="dcterms:W3CDTF">2014-04-21T23:16:33Z</dcterms:created>
  <dcterms:modified xsi:type="dcterms:W3CDTF">2014-05-06T21:35:40Z</dcterms:modified>
</cp:coreProperties>
</file>