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Default Extension="emf" ContentType="image/x-emf"/>
  <Override PartName="/xl/worksheets/sheet7.xml" ContentType="application/vnd.openxmlformats-officedocument.spreadsheetml.worksheet+xml"/>
  <Override PartName="/docProps/app.xml" ContentType="application/vnd.openxmlformats-officedocument.extended-properties+xml"/>
  <Override PartName="/xl/drawings/drawing3.xml" ContentType="application/vnd.openxmlformats-officedocument.drawing+xml"/>
  <Override PartName="/xl/drawings/drawing5.xml" ContentType="application/vnd.openxmlformats-officedocument.drawing+xml"/>
  <Override PartName="/xl/charts/chart2.xml" ContentType="application/vnd.openxmlformats-officedocument.drawingml.chart+xml"/>
  <Default Extension="vml" ContentType="application/vnd.openxmlformats-officedocument.vmlDrawing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xl/charts/chart4.xml" ContentType="application/vnd.openxmlformats-officedocument.drawingml.chart+xml"/>
  <Override PartName="/xl/workbook.xml" ContentType="application/vnd.openxmlformats-officedocument.spreadsheetml.sheet.main+xml"/>
  <Override PartName="/docProps/core.xml" ContentType="application/vnd.openxmlformats-package.core-properties+xml"/>
  <Override PartName="/xl/charts/chart3.xml" ContentType="application/vnd.openxmlformats-officedocument.drawingml.chart+xml"/>
  <Default Extension="xml" ContentType="application/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sharedStrings.xml" ContentType="application/vnd.openxmlformats-officedocument.spreadsheetml.sharedStrings+xml"/>
  <Default Extension="bin" ContentType="application/vnd.openxmlformats-officedocument.oleObject"/>
  <Override PartName="/xl/drawings/drawing4.xml" ContentType="application/vnd.openxmlformats-officedocument.drawing+xml"/>
  <Override PartName="/xl/worksheets/sheet6.xml" ContentType="application/vnd.openxmlformats-officedocument.spreadsheetml.worksheet+xml"/>
  <Default Extension="rels" ContentType="application/vnd.openxmlformats-package.relationships+xml"/>
  <Override PartName="/xl/drawings/drawing1.xml" ContentType="application/vnd.openxmlformats-officedocument.drawing+xml"/>
  <Override PartName="/xl/styles.xml" ContentType="application/vnd.openxmlformats-officedocument.spreadsheetml.styl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2500" yWindow="-420" windowWidth="25320" windowHeight="16100" tabRatio="500" activeTab="6"/>
  </bookViews>
  <sheets>
    <sheet name="OC 1" sheetId="1" r:id="rId1"/>
    <sheet name="NS P1" sheetId="2" r:id="rId2"/>
    <sheet name="NS P2" sheetId="3" r:id="rId3"/>
    <sheet name="NS P3" sheetId="4" r:id="rId4"/>
    <sheet name="NS P4" sheetId="5" r:id="rId5"/>
    <sheet name="OC 2" sheetId="6" r:id="rId6"/>
    <sheet name="Floaters" sheetId="7" r:id="rId7"/>
  </sheets>
  <definedNames>
    <definedName name="solver_adj" localSheetId="0" hidden="1">'OC 1'!$A$86:$A$89</definedName>
    <definedName name="solver_cvg" localSheetId="0" hidden="1">0.000000000000000001</definedName>
    <definedName name="solver_drv" localSheetId="0" hidden="1">2</definedName>
    <definedName name="solver_eng" localSheetId="0" hidden="1">3</definedName>
    <definedName name="solver_est" localSheetId="0" hidden="1">1</definedName>
    <definedName name="solver_itr" localSheetId="0" hidden="1">2147483647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'OC 1'!$F$94</definedName>
    <definedName name="solver_pre" localSheetId="0" hidden="1">0.0000000000000001</definedName>
    <definedName name="solver_rbv" localSheetId="0" hidden="1">2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30404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H20" i="7"/>
  <c r="G19"/>
  <c r="G18"/>
  <c r="C50" i="2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5"/>
  <c r="C50" i="3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5"/>
  <c r="C50" i="4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5"/>
  <c r="C50" i="5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5"/>
  <c r="C131" i="1"/>
  <c r="C128"/>
  <c r="C127"/>
  <c r="I123"/>
  <c r="I122"/>
  <c r="I119"/>
  <c r="I118"/>
  <c r="I117"/>
  <c r="I114"/>
  <c r="I113"/>
  <c r="B106"/>
  <c r="B103"/>
  <c r="B102"/>
  <c r="F94"/>
  <c r="F91"/>
  <c r="E91"/>
  <c r="D91"/>
  <c r="C91"/>
  <c r="F90"/>
  <c r="E90"/>
  <c r="D90"/>
  <c r="C90"/>
  <c r="F89"/>
  <c r="E89"/>
  <c r="D89"/>
  <c r="C89"/>
  <c r="F88"/>
  <c r="E88"/>
  <c r="D88"/>
  <c r="C88"/>
  <c r="F87"/>
  <c r="E87"/>
  <c r="D87"/>
  <c r="C87"/>
  <c r="F86"/>
  <c r="E86"/>
  <c r="D86"/>
  <c r="C86"/>
  <c r="D63"/>
  <c r="N56"/>
  <c r="D56"/>
  <c r="D55"/>
  <c r="J40"/>
  <c r="I40"/>
  <c r="J39"/>
  <c r="I39"/>
  <c r="J38"/>
  <c r="I38"/>
  <c r="J37"/>
  <c r="I37"/>
  <c r="J36"/>
  <c r="I36"/>
  <c r="J35"/>
  <c r="I35"/>
  <c r="N34"/>
  <c r="L34"/>
  <c r="J34"/>
  <c r="I34"/>
  <c r="H34"/>
  <c r="G34"/>
  <c r="J31"/>
  <c r="I31"/>
  <c r="J30"/>
  <c r="I30"/>
  <c r="J29"/>
  <c r="I29"/>
  <c r="J28"/>
  <c r="I28"/>
  <c r="J27"/>
  <c r="I27"/>
  <c r="J26"/>
  <c r="I26"/>
  <c r="H26"/>
  <c r="G26"/>
  <c r="J24"/>
  <c r="I24"/>
  <c r="J23"/>
  <c r="I23"/>
  <c r="J22"/>
  <c r="I22"/>
  <c r="J21"/>
  <c r="I21"/>
  <c r="N20"/>
  <c r="J20"/>
  <c r="I20"/>
  <c r="H20"/>
  <c r="G20"/>
  <c r="J18"/>
  <c r="I18"/>
  <c r="J17"/>
  <c r="I17"/>
  <c r="J16"/>
  <c r="I16"/>
  <c r="J15"/>
  <c r="I15"/>
  <c r="H15"/>
  <c r="G15"/>
  <c r="J13"/>
  <c r="I13"/>
  <c r="J12"/>
  <c r="I12"/>
  <c r="N11"/>
  <c r="J11"/>
  <c r="I11"/>
  <c r="H11"/>
  <c r="G11"/>
  <c r="H10"/>
  <c r="G10"/>
  <c r="F60" i="6"/>
  <c r="J60"/>
  <c r="J54"/>
  <c r="L54"/>
  <c r="J55"/>
  <c r="L55"/>
  <c r="J56"/>
  <c r="L56"/>
  <c r="L57"/>
  <c r="M58"/>
  <c r="N59"/>
  <c r="L60"/>
  <c r="P60"/>
  <c r="R60"/>
  <c r="A70"/>
  <c r="B70"/>
  <c r="Q72"/>
  <c r="D76"/>
  <c r="I68"/>
  <c r="F67"/>
  <c r="H66"/>
  <c r="A40"/>
  <c r="P38"/>
  <c r="F37"/>
  <c r="C40"/>
  <c r="F40"/>
  <c r="H40"/>
  <c r="I32"/>
  <c r="K27"/>
  <c r="I27"/>
  <c r="G25"/>
  <c r="K24"/>
  <c r="I24"/>
  <c r="G24"/>
  <c r="B21"/>
  <c r="K8"/>
  <c r="I8"/>
  <c r="G8"/>
</calcChain>
</file>

<file path=xl/sharedStrings.xml><?xml version="1.0" encoding="utf-8"?>
<sst xmlns="http://schemas.openxmlformats.org/spreadsheetml/2006/main" count="192" uniqueCount="144">
  <si>
    <t>An implication of this for valuing a floater is that it will sell for par on every reset date.  I stress that we are assuming no default risk, otherwise that will not be the case.</t>
    <phoneticPr fontId="3" type="noConversion"/>
  </si>
  <si>
    <t>The tenor refers to the term on which interest is paid.  It will usually be equal to the frequency of payments.</t>
    <phoneticPr fontId="3" type="noConversion"/>
  </si>
  <si>
    <t xml:space="preserve">The risk of this floater is identical to the risk of a 90-day bill.  </t>
    <phoneticPr fontId="3" type="noConversion"/>
  </si>
  <si>
    <t xml:space="preserve">   It differs from a standard note in that the coupon is not fixed.  The coupon is based on a reference rate and a spread.</t>
    <phoneticPr fontId="3" type="noConversion"/>
  </si>
  <si>
    <t xml:space="preserve">   Coupons are paid on a fixed schedule--often quarterly.  The rate paid at time t, is determined at the preceding payment date, or issue.</t>
    <phoneticPr fontId="3" type="noConversion"/>
  </si>
  <si>
    <t>For example, consider a 5-year floating rate note:</t>
    <phoneticPr fontId="3" type="noConversion"/>
  </si>
  <si>
    <t>Term</t>
    <phoneticPr fontId="3" type="noConversion"/>
  </si>
  <si>
    <t>Frequency</t>
    <phoneticPr fontId="3" type="noConversion"/>
  </si>
  <si>
    <t>Qtrly</t>
    <phoneticPr fontId="3" type="noConversion"/>
  </si>
  <si>
    <t>Basis</t>
    <phoneticPr fontId="3" type="noConversion"/>
  </si>
  <si>
    <t>Actual/360</t>
    <phoneticPr fontId="3" type="noConversion"/>
  </si>
  <si>
    <t>Issue Date</t>
    <phoneticPr fontId="3" type="noConversion"/>
  </si>
  <si>
    <t>Reference Rate:</t>
    <phoneticPr fontId="3" type="noConversion"/>
  </si>
  <si>
    <t>90-day Libor</t>
    <phoneticPr fontId="3" type="noConversion"/>
  </si>
  <si>
    <t>Spread:</t>
    <phoneticPr fontId="3" type="noConversion"/>
  </si>
  <si>
    <t>165 bps</t>
    <phoneticPr fontId="3" type="noConversion"/>
  </si>
  <si>
    <t>Tenor</t>
    <phoneticPr fontId="3" type="noConversion"/>
  </si>
  <si>
    <t>Quarterly</t>
    <phoneticPr fontId="3" type="noConversion"/>
  </si>
  <si>
    <t>Suppose that on 10/15/15, 90-day Libor was 1.45%.</t>
    <phoneticPr fontId="3" type="noConversion"/>
  </si>
  <si>
    <t xml:space="preserve">   This means that the first interest payment on this note will occur on 1/15/2016:</t>
    <phoneticPr fontId="3" type="noConversion"/>
  </si>
  <si>
    <t>The amount of this payment is known on 10/15/15, when the note is issued, and this will be:</t>
    <phoneticPr fontId="3" type="noConversion"/>
  </si>
  <si>
    <t xml:space="preserve">  for 100 par value of notes.</t>
    <phoneticPr fontId="3" type="noConversion"/>
  </si>
  <si>
    <t>Note that the coupon is reset on a quarterly basis, with the reset date corresponding to the coupon payment date.</t>
    <phoneticPr fontId="3" type="noConversion"/>
  </si>
  <si>
    <t>The effect of a parallel shift in the yield curve on the inverse floater is similar to the effect on a 0-coupon bond with this term.</t>
  </si>
  <si>
    <t>Now, let's compute the duration of the leveraged inverse floater:</t>
  </si>
  <si>
    <t>We need the duration of the 3-year 25% bond:</t>
  </si>
  <si>
    <t xml:space="preserve">  (Of course increasing the coupon lowers the duration)</t>
  </si>
  <si>
    <t>Duration of the levered inverse floater:</t>
  </si>
  <si>
    <t>IF the Treasurer had not used leverage, then the portfolio losses would have been</t>
  </si>
  <si>
    <t>Veronesi tells us that the OC portfolio included $2.8 billion in inverse floaters.</t>
  </si>
  <si>
    <t xml:space="preserve">  He uses this to calibrate the rest of the portfolio.</t>
  </si>
  <si>
    <t>We know that the duration of the assets in the portfolio is:</t>
  </si>
  <si>
    <t xml:space="preserve">and that these inverse floaters comprise </t>
  </si>
  <si>
    <t xml:space="preserve">  of the portfolio</t>
  </si>
  <si>
    <t>Assume that US Treasury securities make up the remainder of the assets</t>
  </si>
  <si>
    <t>--  This could be the duration of those securities to give the asset duration of This portfolio.</t>
  </si>
  <si>
    <t>If they held the same amount of inverse floaters, and invested the remainder of their equity in Treasuries with this duration, then their duration would have been:</t>
  </si>
  <si>
    <t>Losses would have been:</t>
  </si>
  <si>
    <t>So more than half of the losses were due to leverage.</t>
  </si>
  <si>
    <t>Floating Rate notes and bonds</t>
    <phoneticPr fontId="3" type="noConversion"/>
  </si>
  <si>
    <t>A floater is a marketable security, similar to a (standard) note in that it is issued by a borrower, and is a promise to make future cash flows through maturity.</t>
    <phoneticPr fontId="3" type="noConversion"/>
  </si>
  <si>
    <t>2 X</t>
  </si>
  <si>
    <t>Price of the leveraged inverse floater</t>
  </si>
  <si>
    <t>The OC Case notes that in 1994, OC lost $1.6 billion in a portfolio of $7.5 billion, when interest rates rose from 4% to 6.7% over the year.</t>
  </si>
  <si>
    <t>Veronesi poses the question: If the OC portfolio were invested solely in 0-coupon Treasuries, what would the term of those zeroes  have been to generate this loss.</t>
  </si>
  <si>
    <t xml:space="preserve"> -- That is, what was this portfolio's duration?</t>
  </si>
  <si>
    <t xml:space="preserve">The duration formula, is: </t>
  </si>
  <si>
    <t>or:</t>
  </si>
  <si>
    <t>X</t>
  </si>
  <si>
    <t>=</t>
  </si>
  <si>
    <t>The Treasurer used the repo market to increase his holdings to $20.5 billion.</t>
  </si>
  <si>
    <t>The duration of an equity position is:</t>
  </si>
  <si>
    <t>So for OC, A/(A-L) is:</t>
  </si>
  <si>
    <t>A:</t>
  </si>
  <si>
    <t>A-L</t>
  </si>
  <si>
    <t>L</t>
  </si>
  <si>
    <t>Overnight repo have a duration of  1 day (we'll let this be 0).</t>
  </si>
  <si>
    <t>So his loss has to be related to the total assets:</t>
  </si>
  <si>
    <t xml:space="preserve">In other words, by using leverage, OC increased the duration of its assets from </t>
  </si>
  <si>
    <t xml:space="preserve">  to </t>
  </si>
  <si>
    <t>IF the Treasurer hd not used leverage, then the portfolio losses would have benn</t>
  </si>
  <si>
    <t xml:space="preserve"> billion</t>
  </si>
  <si>
    <t>We can compute the duration of the inverse floaters by examining the duration of its replicating portfolio.</t>
  </si>
  <si>
    <t>The duration of the 3-year 0-coupon bond is:</t>
  </si>
  <si>
    <t>The duration of the floating rate bond is:</t>
  </si>
  <si>
    <t xml:space="preserve">  (because it has an annual tenor --i.e., resets are annual.)</t>
  </si>
  <si>
    <t>From the OC 1 worksheet, we can compute the duration of the coupon bond:</t>
  </si>
  <si>
    <t>So the inverse floater's duration is:</t>
  </si>
  <si>
    <t>Coupon bond duration:</t>
  </si>
  <si>
    <t xml:space="preserve">   +</t>
  </si>
  <si>
    <t>-</t>
  </si>
  <si>
    <t>+</t>
  </si>
  <si>
    <t>In general, we know that for fixed coupon bonds, duration falls as the coupon increases.</t>
  </si>
  <si>
    <t xml:space="preserve">  --So why is the duration of the inverse floater higher than the 3-year zero?</t>
  </si>
  <si>
    <t>--the answer is that a standard coupon can be reinvested at the higher rate, IF rates rise -- reinvestment risk and discounting risk offset one another.</t>
  </si>
  <si>
    <t>However, if you own an inverse floater, and interest rates rise, your coupon falls.</t>
  </si>
  <si>
    <t>--This extenuates discounting risk.</t>
  </si>
  <si>
    <t>(payments made annually in this case)</t>
    <phoneticPr fontId="3" type="noConversion"/>
  </si>
  <si>
    <t>Floater</t>
    <phoneticPr fontId="3" type="noConversion"/>
  </si>
  <si>
    <t>To replicate the cash flows of an inverse floater bond, we have to buy the zero coupon and 15% coupon bond, and short the floater:</t>
    <phoneticPr fontId="3" type="noConversion"/>
  </si>
  <si>
    <r>
      <t>P</t>
    </r>
    <r>
      <rPr>
        <vertAlign val="subscript"/>
        <sz val="10"/>
        <rFont val="Verdana"/>
        <family val="2"/>
      </rPr>
      <t>FR</t>
    </r>
    <r>
      <rPr>
        <sz val="10"/>
        <rFont val="Verdana"/>
      </rPr>
      <t>(0,3):</t>
    </r>
    <phoneticPr fontId="3" type="noConversion"/>
  </si>
  <si>
    <t>Price Inverse Floater:</t>
    <phoneticPr fontId="3" type="noConversion"/>
  </si>
  <si>
    <t>The first step in the Orange County Case is to bootstrap the yield curve.</t>
    <phoneticPr fontId="3" type="noConversion"/>
  </si>
  <si>
    <t xml:space="preserve"> </t>
    <phoneticPr fontId="3" type="noConversion"/>
  </si>
  <si>
    <t>--Remember that the yield curve shows the yields on 0-coupon securities as a function of term.</t>
    <phoneticPr fontId="3" type="noConversion"/>
  </si>
  <si>
    <t>Note that the first parameter (theta_0) works as a level factor.</t>
  </si>
  <si>
    <t>Note that the second parameter (theta_1) changes both the level and slope of the yield curve.</t>
  </si>
  <si>
    <t>Note that the third parameter (theta_2) primarily changes the slope of the yield curve.</t>
  </si>
  <si>
    <t>Note that the fourth parameter (lambda) primarily changes the curvature of the yield curve.</t>
  </si>
  <si>
    <t>A nice thing about having a specification for the yield curve is that we can obtain yield for any maturity (even if we don't have Treasury securities with the desired T).</t>
  </si>
  <si>
    <t>Let's use this model to get the value of our inverse floater:</t>
  </si>
  <si>
    <t xml:space="preserve">  Price of the inverse floater using the Nelson-Siegel model, estimated using 6 yields.</t>
  </si>
  <si>
    <t>The bad thing about this model is that we fit it every day, and get different values for the parameters.</t>
  </si>
  <si>
    <t>Leveraged Inverse Floaters.</t>
  </si>
  <si>
    <t>Example:</t>
  </si>
  <si>
    <r>
      <t>This inverse floater is structured: C(t) = 15% - r</t>
    </r>
    <r>
      <rPr>
        <vertAlign val="subscript"/>
        <sz val="10"/>
        <rFont val="Verdana"/>
        <family val="2"/>
      </rPr>
      <t>1</t>
    </r>
    <r>
      <rPr>
        <sz val="10"/>
        <rFont val="Verdana"/>
      </rPr>
      <t>(t-1)</t>
    </r>
  </si>
  <si>
    <r>
      <t xml:space="preserve"> C(t) = 25% -2 r</t>
    </r>
    <r>
      <rPr>
        <vertAlign val="subscript"/>
        <sz val="10"/>
        <rFont val="Verdana"/>
        <family val="2"/>
      </rPr>
      <t>1</t>
    </r>
    <r>
      <rPr>
        <sz val="10"/>
        <rFont val="Verdana"/>
      </rPr>
      <t>(t-1)</t>
    </r>
  </si>
  <si>
    <t>and on the leveraged inverse floater:</t>
  </si>
  <si>
    <t>So, for example, if the 1-year interest rate, one year from now is 10%, then the coupon on the inverse floater is:</t>
  </si>
  <si>
    <t>So, for example, if the 1-year interest rate, one year from now is 6%, then the coupon on the inverse floater is:</t>
  </si>
  <si>
    <t>But if rates rise, potential losses are higher. If the 1-year rate in one year is 14%, the coupon on the IF:</t>
  </si>
  <si>
    <t>--and that on the Leveraged IF:</t>
  </si>
  <si>
    <t>To replicate the leveraged inverse floater, we would be short 2 floaters, long a 25% coupon bond, and long 2 0-coupon bonds:</t>
  </si>
  <si>
    <r>
      <t>r</t>
    </r>
    <r>
      <rPr>
        <vertAlign val="subscript"/>
        <sz val="10"/>
        <rFont val="Verdana"/>
        <family val="2"/>
      </rPr>
      <t>1</t>
    </r>
    <r>
      <rPr>
        <sz val="10"/>
        <rFont val="Verdana"/>
      </rPr>
      <t>(2) refers to the 1-year spot rate on day 2 (i.e., 12/31/95)</t>
    </r>
    <phoneticPr fontId="3" type="noConversion"/>
  </si>
  <si>
    <r>
      <t>100+max(0,15-100*r</t>
    </r>
    <r>
      <rPr>
        <vertAlign val="subscript"/>
        <sz val="10"/>
        <rFont val="Verdana"/>
        <family val="2"/>
      </rPr>
      <t>1</t>
    </r>
    <r>
      <rPr>
        <sz val="10"/>
        <rFont val="Verdana"/>
      </rPr>
      <t>(2))</t>
    </r>
    <phoneticPr fontId="3" type="noConversion"/>
  </si>
  <si>
    <t xml:space="preserve">  This valuation ignores the non-linear nature of the inverse floater.  Note that on each future reset date, the inverse floater</t>
    <phoneticPr fontId="3" type="noConversion"/>
  </si>
  <si>
    <t xml:space="preserve">    includes an option-like condition (i.e., the interest payment cannot be negative).</t>
    <phoneticPr fontId="3" type="noConversion"/>
  </si>
  <si>
    <t>Nelson Siegel Model:</t>
    <phoneticPr fontId="3" type="noConversion"/>
  </si>
  <si>
    <r>
      <t>Z(0,T) = e</t>
    </r>
    <r>
      <rPr>
        <vertAlign val="superscript"/>
        <sz val="10"/>
        <rFont val="Verdana"/>
        <family val="2"/>
      </rPr>
      <t>-r(0,T)T</t>
    </r>
    <phoneticPr fontId="3" type="noConversion"/>
  </si>
  <si>
    <t>(Continuous compounding to compute discount factor).</t>
    <phoneticPr fontId="3" type="noConversion"/>
  </si>
  <si>
    <t>So, if we know the three theta values and lambda, then we know the yield for any term, T.</t>
    <phoneticPr fontId="3" type="noConversion"/>
  </si>
  <si>
    <t>Parameters</t>
    <phoneticPr fontId="3" type="noConversion"/>
  </si>
  <si>
    <t>T</t>
    <phoneticPr fontId="3" type="noConversion"/>
  </si>
  <si>
    <t>Implied Yld</t>
    <phoneticPr fontId="3" type="noConversion"/>
  </si>
  <si>
    <t>Discount</t>
    <phoneticPr fontId="3" type="noConversion"/>
  </si>
  <si>
    <t>Actual Discount</t>
    <phoneticPr fontId="3" type="noConversion"/>
  </si>
  <si>
    <t>Sqrd Deviation</t>
    <phoneticPr fontId="3" type="noConversion"/>
  </si>
  <si>
    <t>Criterion:</t>
    <phoneticPr fontId="3" type="noConversion"/>
  </si>
  <si>
    <t>The first approach to generate the yield curve (which we saw in 542), looks at coupon bonds--staggered at 6 month terms--to get the value of each cash flow, and then ascertain the discount factor for each date.</t>
    <phoneticPr fontId="3" type="noConversion"/>
  </si>
  <si>
    <t>This is the first 6 from Tables 2.6 and 2.7 on pp. 63-64.</t>
    <phoneticPr fontId="3" type="noConversion"/>
  </si>
  <si>
    <t xml:space="preserve">You should verify the last 5 rows in Table 2.7. </t>
    <phoneticPr fontId="3" type="noConversion"/>
  </si>
  <si>
    <t>Note: To price the bonds, he uses the mid-point of the bid and ask discounts.</t>
    <phoneticPr fontId="3" type="noConversion"/>
  </si>
  <si>
    <t xml:space="preserve">   (The price of a floating rate bond is always par on a reset date.)</t>
    <phoneticPr fontId="3" type="noConversion"/>
  </si>
  <si>
    <t>So its future cash flows are:</t>
    <phoneticPr fontId="3" type="noConversion"/>
  </si>
  <si>
    <t>Date</t>
    <phoneticPr fontId="3" type="noConversion"/>
  </si>
  <si>
    <t>Cash Flow</t>
    <phoneticPr fontId="3" type="noConversion"/>
  </si>
  <si>
    <r>
      <t>max(0,15-100*r</t>
    </r>
    <r>
      <rPr>
        <vertAlign val="subscript"/>
        <sz val="10"/>
        <rFont val="Verdana"/>
        <family val="2"/>
      </rPr>
      <t>1</t>
    </r>
    <r>
      <rPr>
        <sz val="10"/>
        <rFont val="Verdana"/>
      </rPr>
      <t>(0))</t>
    </r>
    <phoneticPr fontId="3" type="noConversion"/>
  </si>
  <si>
    <r>
      <t>max(0,15-100*r</t>
    </r>
    <r>
      <rPr>
        <vertAlign val="subscript"/>
        <sz val="10"/>
        <rFont val="Verdana"/>
        <family val="2"/>
      </rPr>
      <t>1</t>
    </r>
    <r>
      <rPr>
        <sz val="10"/>
        <rFont val="Verdana"/>
      </rPr>
      <t>(1))</t>
    </r>
    <phoneticPr fontId="3" type="noConversion"/>
  </si>
  <si>
    <t>Notation:</t>
    <phoneticPr fontId="3" type="noConversion"/>
  </si>
  <si>
    <r>
      <t>r</t>
    </r>
    <r>
      <rPr>
        <vertAlign val="subscript"/>
        <sz val="10"/>
        <rFont val="Verdana"/>
        <family val="2"/>
      </rPr>
      <t>1</t>
    </r>
    <r>
      <rPr>
        <sz val="10"/>
        <rFont val="Verdana"/>
      </rPr>
      <t>(0) refers to the 1-year spot rate on day 0 (i.e., 12/31/93)</t>
    </r>
    <phoneticPr fontId="3" type="noConversion"/>
  </si>
  <si>
    <r>
      <t>r</t>
    </r>
    <r>
      <rPr>
        <vertAlign val="subscript"/>
        <sz val="10"/>
        <rFont val="Verdana"/>
        <family val="2"/>
      </rPr>
      <t>1</t>
    </r>
    <r>
      <rPr>
        <sz val="10"/>
        <rFont val="Verdana"/>
      </rPr>
      <t>(1) refers to the 1-year spot rate on day 1 (i.e., 12/31/94)</t>
    </r>
    <phoneticPr fontId="3" type="noConversion"/>
  </si>
  <si>
    <t>Today</t>
    <phoneticPr fontId="3" type="noConversion"/>
  </si>
  <si>
    <t>Mat</t>
    <phoneticPr fontId="3" type="noConversion"/>
  </si>
  <si>
    <t>Cpn</t>
    <phoneticPr fontId="3" type="noConversion"/>
  </si>
  <si>
    <t xml:space="preserve">Bid </t>
    <phoneticPr fontId="3" type="noConversion"/>
  </si>
  <si>
    <t>Ask</t>
    <phoneticPr fontId="3" type="noConversion"/>
  </si>
  <si>
    <t>Zb(0,T)</t>
    <phoneticPr fontId="3" type="noConversion"/>
  </si>
  <si>
    <t>Za(0,T)</t>
    <phoneticPr fontId="3" type="noConversion"/>
  </si>
  <si>
    <t>Intermediate Cash Flows:</t>
    <phoneticPr fontId="3" type="noConversion"/>
  </si>
  <si>
    <r>
      <t>P</t>
    </r>
    <r>
      <rPr>
        <vertAlign val="subscript"/>
        <sz val="10"/>
        <rFont val="Z"/>
      </rPr>
      <t>Z</t>
    </r>
    <r>
      <rPr>
        <sz val="10"/>
        <rFont val="Z"/>
      </rPr>
      <t>(0,3) :</t>
    </r>
    <phoneticPr fontId="3" type="noConversion"/>
  </si>
  <si>
    <t>15% coupon bond:</t>
    <phoneticPr fontId="3" type="noConversion"/>
  </si>
  <si>
    <r>
      <t>P</t>
    </r>
    <r>
      <rPr>
        <vertAlign val="subscript"/>
        <sz val="10"/>
        <rFont val="Verdana"/>
        <family val="2"/>
      </rPr>
      <t>c</t>
    </r>
    <r>
      <rPr>
        <sz val="10"/>
        <rFont val="Z"/>
      </rPr>
      <t>(0,3) :</t>
    </r>
    <phoneticPr fontId="3" type="noConversion"/>
  </si>
  <si>
    <t>Coupon Bond Cash flows</t>
    <phoneticPr fontId="3" type="noConversion"/>
  </si>
  <si>
    <t>Value @ mp</t>
    <phoneticPr fontId="3" type="noConversion"/>
  </si>
</sst>
</file>

<file path=xl/styles.xml><?xml version="1.0" encoding="utf-8"?>
<styleSheet xmlns="http://schemas.openxmlformats.org/spreadsheetml/2006/main">
  <fonts count="8">
    <font>
      <sz val="10"/>
      <name val="Verdana"/>
    </font>
    <font>
      <b/>
      <sz val="10"/>
      <name val="Verdana"/>
    </font>
    <font>
      <sz val="10"/>
      <name val="Verdana"/>
    </font>
    <font>
      <sz val="8"/>
      <name val="Verdana"/>
      <family val="2"/>
    </font>
    <font>
      <vertAlign val="subscript"/>
      <sz val="10"/>
      <name val="Z"/>
    </font>
    <font>
      <sz val="10"/>
      <name val="Z"/>
    </font>
    <font>
      <vertAlign val="subscript"/>
      <sz val="10"/>
      <name val="Verdana"/>
      <family val="2"/>
    </font>
    <font>
      <vertAlign val="superscript"/>
      <sz val="1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0" fontId="1" fillId="0" borderId="0" xfId="0" applyFont="1"/>
    <xf numFmtId="0" fontId="0" fillId="0" borderId="0" xfId="0" quotePrefix="1"/>
    <xf numFmtId="14" fontId="1" fillId="0" borderId="0" xfId="0" applyNumberFormat="1" applyFont="1"/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quotePrefix="1" applyFont="1"/>
    <xf numFmtId="0" fontId="2" fillId="0" borderId="0" xfId="0" applyFont="1" applyAlignment="1">
      <alignment horizontal="center"/>
    </xf>
    <xf numFmtId="0" fontId="2" fillId="0" borderId="0" xfId="0" quotePrefix="1" applyFont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4" Type="http://schemas.openxmlformats.org/officeDocument/2006/relationships/worksheet" Target="worksheets/sheet4.xml"/><Relationship Id="rId1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7" Type="http://schemas.openxmlformats.org/officeDocument/2006/relationships/worksheet" Target="worksheets/sheet7.xml"/><Relationship Id="rId11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9" Type="http://schemas.openxmlformats.org/officeDocument/2006/relationships/styles" Target="styles.xml"/><Relationship Id="rId3" Type="http://schemas.openxmlformats.org/officeDocument/2006/relationships/worksheet" Target="worksheets/sheet3.xml"/><Relationship Id="rId6" Type="http://schemas.openxmlformats.org/officeDocument/2006/relationships/worksheet" Target="worksheets/sheet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2"/>
  <c:chart>
    <c:title>
      <c:tx>
        <c:rich>
          <a:bodyPr/>
          <a:lstStyle/>
          <a:p>
            <a:pPr>
              <a:defRPr/>
            </a:pPr>
            <a:r>
              <a:rPr lang="en-US"/>
              <a:t>Yield Curve</a:t>
            </a:r>
          </a:p>
        </c:rich>
      </c:tx>
    </c:title>
    <c:plotArea>
      <c:layout>
        <c:manualLayout>
          <c:layoutTarget val="inner"/>
          <c:xMode val="edge"/>
          <c:yMode val="edge"/>
          <c:x val="0.14308573928259"/>
          <c:y val="0.0282524059492563"/>
          <c:w val="0.680872047244095"/>
          <c:h val="0.832619568387285"/>
        </c:manualLayout>
      </c:layout>
      <c:scatterChart>
        <c:scatterStyle val="smoothMarker"/>
        <c:ser>
          <c:idx val="0"/>
          <c:order val="0"/>
          <c:tx>
            <c:v>Base Case</c:v>
          </c:tx>
          <c:marker>
            <c:symbol val="none"/>
          </c:marker>
          <c:xVal>
            <c:numRef>
              <c:f>'NS P1'!$B$5:$B$24</c:f>
              <c:numCache>
                <c:formatCode>General</c:formatCode>
                <c:ptCount val="20"/>
                <c:pt idx="0">
                  <c:v>0.5</c:v>
                </c:pt>
                <c:pt idx="1">
                  <c:v>1.0</c:v>
                </c:pt>
                <c:pt idx="2">
                  <c:v>1.5</c:v>
                </c:pt>
                <c:pt idx="3">
                  <c:v>2.0</c:v>
                </c:pt>
                <c:pt idx="4">
                  <c:v>2.5</c:v>
                </c:pt>
                <c:pt idx="5">
                  <c:v>3.0</c:v>
                </c:pt>
                <c:pt idx="6">
                  <c:v>3.5</c:v>
                </c:pt>
                <c:pt idx="7">
                  <c:v>4.0</c:v>
                </c:pt>
                <c:pt idx="8">
                  <c:v>4.5</c:v>
                </c:pt>
                <c:pt idx="9">
                  <c:v>5.0</c:v>
                </c:pt>
                <c:pt idx="10">
                  <c:v>5.5</c:v>
                </c:pt>
                <c:pt idx="11">
                  <c:v>6.0</c:v>
                </c:pt>
                <c:pt idx="12">
                  <c:v>6.5</c:v>
                </c:pt>
                <c:pt idx="13">
                  <c:v>7.0</c:v>
                </c:pt>
                <c:pt idx="14">
                  <c:v>7.5</c:v>
                </c:pt>
                <c:pt idx="15">
                  <c:v>8.0</c:v>
                </c:pt>
                <c:pt idx="16">
                  <c:v>8.5</c:v>
                </c:pt>
                <c:pt idx="17">
                  <c:v>9.0</c:v>
                </c:pt>
                <c:pt idx="18">
                  <c:v>9.5</c:v>
                </c:pt>
                <c:pt idx="19">
                  <c:v>10.0</c:v>
                </c:pt>
              </c:numCache>
            </c:numRef>
          </c:xVal>
          <c:yVal>
            <c:numRef>
              <c:f>'NS P1'!$C$5:$C$24</c:f>
              <c:numCache>
                <c:formatCode>General</c:formatCode>
                <c:ptCount val="20"/>
                <c:pt idx="0">
                  <c:v>0.0339754958960965</c:v>
                </c:pt>
                <c:pt idx="1">
                  <c:v>0.0366754696936244</c:v>
                </c:pt>
                <c:pt idx="2">
                  <c:v>0.0390128603852462</c:v>
                </c:pt>
                <c:pt idx="3">
                  <c:v>0.0410279905205433</c:v>
                </c:pt>
                <c:pt idx="4">
                  <c:v>0.0427569503540013</c:v>
                </c:pt>
                <c:pt idx="5">
                  <c:v>0.0442320308719844</c:v>
                </c:pt>
                <c:pt idx="6">
                  <c:v>0.0454821131111074</c:v>
                </c:pt>
                <c:pt idx="7">
                  <c:v>0.0465330181443878</c:v>
                </c:pt>
                <c:pt idx="8">
                  <c:v>0.047407821675644</c:v>
                </c:pt>
                <c:pt idx="9">
                  <c:v>0.0481271367899439</c:v>
                </c:pt>
                <c:pt idx="10">
                  <c:v>0.0487093680542459</c:v>
                </c:pt>
                <c:pt idx="11">
                  <c:v>0.0491709398438206</c:v>
                </c:pt>
                <c:pt idx="12">
                  <c:v>0.049526501483143</c:v>
                </c:pt>
                <c:pt idx="13">
                  <c:v>0.049789111531553</c:v>
                </c:pt>
                <c:pt idx="14">
                  <c:v>0.0499704033112724</c:v>
                </c:pt>
                <c:pt idx="15">
                  <c:v>0.0500807335658002</c:v>
                </c:pt>
                <c:pt idx="16">
                  <c:v>0.0501293159479826</c:v>
                </c:pt>
                <c:pt idx="17">
                  <c:v>0.0501243408671121</c:v>
                </c:pt>
                <c:pt idx="18">
                  <c:v>0.0500730830713764</c:v>
                </c:pt>
                <c:pt idx="19">
                  <c:v>0.0499819982041895</c:v>
                </c:pt>
              </c:numCache>
            </c:numRef>
          </c:yVal>
          <c:smooth val="1"/>
        </c:ser>
        <c:ser>
          <c:idx val="1"/>
          <c:order val="1"/>
          <c:tx>
            <c:v>New Case</c:v>
          </c:tx>
          <c:marker>
            <c:symbol val="none"/>
          </c:marker>
          <c:xVal>
            <c:numRef>
              <c:f>'NS P1'!$B$5:$B$24</c:f>
              <c:numCache>
                <c:formatCode>General</c:formatCode>
                <c:ptCount val="20"/>
                <c:pt idx="0">
                  <c:v>0.5</c:v>
                </c:pt>
                <c:pt idx="1">
                  <c:v>1.0</c:v>
                </c:pt>
                <c:pt idx="2">
                  <c:v>1.5</c:v>
                </c:pt>
                <c:pt idx="3">
                  <c:v>2.0</c:v>
                </c:pt>
                <c:pt idx="4">
                  <c:v>2.5</c:v>
                </c:pt>
                <c:pt idx="5">
                  <c:v>3.0</c:v>
                </c:pt>
                <c:pt idx="6">
                  <c:v>3.5</c:v>
                </c:pt>
                <c:pt idx="7">
                  <c:v>4.0</c:v>
                </c:pt>
                <c:pt idx="8">
                  <c:v>4.5</c:v>
                </c:pt>
                <c:pt idx="9">
                  <c:v>5.0</c:v>
                </c:pt>
                <c:pt idx="10">
                  <c:v>5.5</c:v>
                </c:pt>
                <c:pt idx="11">
                  <c:v>6.0</c:v>
                </c:pt>
                <c:pt idx="12">
                  <c:v>6.5</c:v>
                </c:pt>
                <c:pt idx="13">
                  <c:v>7.0</c:v>
                </c:pt>
                <c:pt idx="14">
                  <c:v>7.5</c:v>
                </c:pt>
                <c:pt idx="15">
                  <c:v>8.0</c:v>
                </c:pt>
                <c:pt idx="16">
                  <c:v>8.5</c:v>
                </c:pt>
                <c:pt idx="17">
                  <c:v>9.0</c:v>
                </c:pt>
                <c:pt idx="18">
                  <c:v>9.5</c:v>
                </c:pt>
                <c:pt idx="19">
                  <c:v>10.0</c:v>
                </c:pt>
              </c:numCache>
            </c:numRef>
          </c:xVal>
          <c:yVal>
            <c:numRef>
              <c:f>'NS P1'!$C$31:$C$50</c:f>
              <c:numCache>
                <c:formatCode>General</c:formatCode>
                <c:ptCount val="20"/>
                <c:pt idx="0">
                  <c:v>0.0431075933440197</c:v>
                </c:pt>
                <c:pt idx="1">
                  <c:v>0.0458075671415476</c:v>
                </c:pt>
                <c:pt idx="2">
                  <c:v>0.0481449578331693</c:v>
                </c:pt>
                <c:pt idx="3">
                  <c:v>0.0501600879684665</c:v>
                </c:pt>
                <c:pt idx="4">
                  <c:v>0.0518890478019245</c:v>
                </c:pt>
                <c:pt idx="5">
                  <c:v>0.0533641283199076</c:v>
                </c:pt>
                <c:pt idx="6">
                  <c:v>0.0546142105590305</c:v>
                </c:pt>
                <c:pt idx="7">
                  <c:v>0.055665115592311</c:v>
                </c:pt>
                <c:pt idx="8">
                  <c:v>0.0565399191235672</c:v>
                </c:pt>
                <c:pt idx="9">
                  <c:v>0.0572592342378671</c:v>
                </c:pt>
                <c:pt idx="10">
                  <c:v>0.0578414655021692</c:v>
                </c:pt>
                <c:pt idx="11">
                  <c:v>0.0583030372917438</c:v>
                </c:pt>
                <c:pt idx="12">
                  <c:v>0.0586585989310662</c:v>
                </c:pt>
                <c:pt idx="13">
                  <c:v>0.0589212089794762</c:v>
                </c:pt>
                <c:pt idx="14">
                  <c:v>0.0591025007591956</c:v>
                </c:pt>
                <c:pt idx="15">
                  <c:v>0.0592128310137234</c:v>
                </c:pt>
                <c:pt idx="16">
                  <c:v>0.0592614133959058</c:v>
                </c:pt>
                <c:pt idx="17">
                  <c:v>0.0592564383150353</c:v>
                </c:pt>
                <c:pt idx="18">
                  <c:v>0.0592051805192996</c:v>
                </c:pt>
                <c:pt idx="19">
                  <c:v>0.0591140956521127</c:v>
                </c:pt>
              </c:numCache>
            </c:numRef>
          </c:yVal>
          <c:smooth val="1"/>
        </c:ser>
        <c:dLbls/>
        <c:axId val="601430248"/>
        <c:axId val="601437416"/>
      </c:scatterChart>
      <c:valAx>
        <c:axId val="6014302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Term (Years)</a:t>
                </a:r>
              </a:p>
            </c:rich>
          </c:tx>
        </c:title>
        <c:numFmt formatCode="General" sourceLinked="1"/>
        <c:tickLblPos val="nextTo"/>
        <c:crossAx val="601437416"/>
        <c:crosses val="autoZero"/>
        <c:crossBetween val="midCat"/>
      </c:valAx>
      <c:valAx>
        <c:axId val="601437416"/>
        <c:scaling>
          <c:orientation val="minMax"/>
        </c:scaling>
        <c:axPos val="l"/>
        <c:majorGridlines/>
        <c:title>
          <c:tx>
            <c:rich>
              <a:bodyPr rot="0" vert="wordArtVert"/>
              <a:lstStyle/>
              <a:p>
                <a:pPr>
                  <a:defRPr/>
                </a:pPr>
                <a:r>
                  <a:rPr lang="en-US"/>
                  <a:t>Yield to Maturity</a:t>
                </a:r>
              </a:p>
            </c:rich>
          </c:tx>
        </c:title>
        <c:numFmt formatCode="General" sourceLinked="1"/>
        <c:tickLblPos val="nextTo"/>
        <c:crossAx val="601430248"/>
        <c:crosses val="autoZero"/>
        <c:crossBetween val="midCat"/>
      </c:valAx>
    </c:plotArea>
    <c:legend>
      <c:legendPos val="r"/>
    </c:legend>
    <c:plotVisOnly val="1"/>
    <c:dispBlanksAs val="gap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2"/>
  <c:chart>
    <c:title>
      <c:tx>
        <c:rich>
          <a:bodyPr/>
          <a:lstStyle/>
          <a:p>
            <a:pPr>
              <a:defRPr/>
            </a:pPr>
            <a:r>
              <a:rPr lang="en-US"/>
              <a:t>Yield Curve</a:t>
            </a:r>
          </a:p>
        </c:rich>
      </c:tx>
    </c:title>
    <c:plotArea>
      <c:layout>
        <c:manualLayout>
          <c:layoutTarget val="inner"/>
          <c:xMode val="edge"/>
          <c:yMode val="edge"/>
          <c:x val="0.14308573928259"/>
          <c:y val="0.0282524059492563"/>
          <c:w val="0.680872047244095"/>
          <c:h val="0.832619568387285"/>
        </c:manualLayout>
      </c:layout>
      <c:scatterChart>
        <c:scatterStyle val="smoothMarker"/>
        <c:ser>
          <c:idx val="0"/>
          <c:order val="0"/>
          <c:tx>
            <c:v>Base Case</c:v>
          </c:tx>
          <c:marker>
            <c:symbol val="none"/>
          </c:marker>
          <c:xVal>
            <c:numRef>
              <c:f>'NS P2'!$B$5:$B$24</c:f>
              <c:numCache>
                <c:formatCode>General</c:formatCode>
                <c:ptCount val="20"/>
                <c:pt idx="0">
                  <c:v>0.5</c:v>
                </c:pt>
                <c:pt idx="1">
                  <c:v>1.0</c:v>
                </c:pt>
                <c:pt idx="2">
                  <c:v>1.5</c:v>
                </c:pt>
                <c:pt idx="3">
                  <c:v>2.0</c:v>
                </c:pt>
                <c:pt idx="4">
                  <c:v>2.5</c:v>
                </c:pt>
                <c:pt idx="5">
                  <c:v>3.0</c:v>
                </c:pt>
                <c:pt idx="6">
                  <c:v>3.5</c:v>
                </c:pt>
                <c:pt idx="7">
                  <c:v>4.0</c:v>
                </c:pt>
                <c:pt idx="8">
                  <c:v>4.5</c:v>
                </c:pt>
                <c:pt idx="9">
                  <c:v>5.0</c:v>
                </c:pt>
                <c:pt idx="10">
                  <c:v>5.5</c:v>
                </c:pt>
                <c:pt idx="11">
                  <c:v>6.0</c:v>
                </c:pt>
                <c:pt idx="12">
                  <c:v>6.5</c:v>
                </c:pt>
                <c:pt idx="13">
                  <c:v>7.0</c:v>
                </c:pt>
                <c:pt idx="14">
                  <c:v>7.5</c:v>
                </c:pt>
                <c:pt idx="15">
                  <c:v>8.0</c:v>
                </c:pt>
                <c:pt idx="16">
                  <c:v>8.5</c:v>
                </c:pt>
                <c:pt idx="17">
                  <c:v>9.0</c:v>
                </c:pt>
                <c:pt idx="18">
                  <c:v>9.5</c:v>
                </c:pt>
                <c:pt idx="19">
                  <c:v>10.0</c:v>
                </c:pt>
              </c:numCache>
            </c:numRef>
          </c:xVal>
          <c:yVal>
            <c:numRef>
              <c:f>'NS P2'!$C$5:$C$24</c:f>
              <c:numCache>
                <c:formatCode>General</c:formatCode>
                <c:ptCount val="20"/>
                <c:pt idx="0">
                  <c:v>0.0339754958960965</c:v>
                </c:pt>
                <c:pt idx="1">
                  <c:v>0.0366754696936244</c:v>
                </c:pt>
                <c:pt idx="2">
                  <c:v>0.0390128603852462</c:v>
                </c:pt>
                <c:pt idx="3">
                  <c:v>0.0410279905205433</c:v>
                </c:pt>
                <c:pt idx="4">
                  <c:v>0.0427569503540013</c:v>
                </c:pt>
                <c:pt idx="5">
                  <c:v>0.0442320308719844</c:v>
                </c:pt>
                <c:pt idx="6">
                  <c:v>0.0454821131111074</c:v>
                </c:pt>
                <c:pt idx="7">
                  <c:v>0.0465330181443878</c:v>
                </c:pt>
                <c:pt idx="8">
                  <c:v>0.047407821675644</c:v>
                </c:pt>
                <c:pt idx="9">
                  <c:v>0.0481271367899439</c:v>
                </c:pt>
                <c:pt idx="10">
                  <c:v>0.0487093680542459</c:v>
                </c:pt>
                <c:pt idx="11">
                  <c:v>0.0491709398438206</c:v>
                </c:pt>
                <c:pt idx="12">
                  <c:v>0.049526501483143</c:v>
                </c:pt>
                <c:pt idx="13">
                  <c:v>0.049789111531553</c:v>
                </c:pt>
                <c:pt idx="14">
                  <c:v>0.0499704033112724</c:v>
                </c:pt>
                <c:pt idx="15">
                  <c:v>0.0500807335658002</c:v>
                </c:pt>
                <c:pt idx="16">
                  <c:v>0.0501293159479826</c:v>
                </c:pt>
                <c:pt idx="17">
                  <c:v>0.0501243408671121</c:v>
                </c:pt>
                <c:pt idx="18">
                  <c:v>0.0500730830713764</c:v>
                </c:pt>
                <c:pt idx="19">
                  <c:v>0.0499819982041895</c:v>
                </c:pt>
              </c:numCache>
            </c:numRef>
          </c:yVal>
          <c:smooth val="1"/>
        </c:ser>
        <c:ser>
          <c:idx val="1"/>
          <c:order val="1"/>
          <c:tx>
            <c:v>New Case</c:v>
          </c:tx>
          <c:marker>
            <c:symbol val="none"/>
          </c:marker>
          <c:xVal>
            <c:numRef>
              <c:f>'NS P2'!$B$5:$B$24</c:f>
              <c:numCache>
                <c:formatCode>General</c:formatCode>
                <c:ptCount val="20"/>
                <c:pt idx="0">
                  <c:v>0.5</c:v>
                </c:pt>
                <c:pt idx="1">
                  <c:v>1.0</c:v>
                </c:pt>
                <c:pt idx="2">
                  <c:v>1.5</c:v>
                </c:pt>
                <c:pt idx="3">
                  <c:v>2.0</c:v>
                </c:pt>
                <c:pt idx="4">
                  <c:v>2.5</c:v>
                </c:pt>
                <c:pt idx="5">
                  <c:v>3.0</c:v>
                </c:pt>
                <c:pt idx="6">
                  <c:v>3.5</c:v>
                </c:pt>
                <c:pt idx="7">
                  <c:v>4.0</c:v>
                </c:pt>
                <c:pt idx="8">
                  <c:v>4.5</c:v>
                </c:pt>
                <c:pt idx="9">
                  <c:v>5.0</c:v>
                </c:pt>
                <c:pt idx="10">
                  <c:v>5.5</c:v>
                </c:pt>
                <c:pt idx="11">
                  <c:v>6.0</c:v>
                </c:pt>
                <c:pt idx="12">
                  <c:v>6.5</c:v>
                </c:pt>
                <c:pt idx="13">
                  <c:v>7.0</c:v>
                </c:pt>
                <c:pt idx="14">
                  <c:v>7.5</c:v>
                </c:pt>
                <c:pt idx="15">
                  <c:v>8.0</c:v>
                </c:pt>
                <c:pt idx="16">
                  <c:v>8.5</c:v>
                </c:pt>
                <c:pt idx="17">
                  <c:v>9.0</c:v>
                </c:pt>
                <c:pt idx="18">
                  <c:v>9.5</c:v>
                </c:pt>
                <c:pt idx="19">
                  <c:v>10.0</c:v>
                </c:pt>
              </c:numCache>
            </c:numRef>
          </c:xVal>
          <c:yVal>
            <c:numRef>
              <c:f>'NS P2'!$C$31:$C$50</c:f>
              <c:numCache>
                <c:formatCode>General</c:formatCode>
                <c:ptCount val="20"/>
                <c:pt idx="0">
                  <c:v>0.0149718984597015</c:v>
                </c:pt>
                <c:pt idx="1">
                  <c:v>0.0186026439879107</c:v>
                </c:pt>
                <c:pt idx="2">
                  <c:v>0.0218100224091818</c:v>
                </c:pt>
                <c:pt idx="3">
                  <c:v>0.0246388219562412</c:v>
                </c:pt>
                <c:pt idx="4">
                  <c:v>0.0271292486092632</c:v>
                </c:pt>
                <c:pt idx="5">
                  <c:v>0.0293173876902878</c:v>
                </c:pt>
                <c:pt idx="6">
                  <c:v>0.0312356193504123</c:v>
                </c:pt>
                <c:pt idx="7">
                  <c:v>0.0329129925317336</c:v>
                </c:pt>
                <c:pt idx="8">
                  <c:v>0.0343755615321961</c:v>
                </c:pt>
                <c:pt idx="9">
                  <c:v>0.0356466888925203</c:v>
                </c:pt>
                <c:pt idx="10">
                  <c:v>0.036747317955832</c:v>
                </c:pt>
                <c:pt idx="11">
                  <c:v>0.0376962181184895</c:v>
                </c:pt>
                <c:pt idx="12">
                  <c:v>0.038510205491321</c:v>
                </c:pt>
                <c:pt idx="13">
                  <c:v>0.0392043414207971</c:v>
                </c:pt>
                <c:pt idx="14">
                  <c:v>0.0397921110766508</c:v>
                </c:pt>
                <c:pt idx="15">
                  <c:v>0.0402855840934898</c:v>
                </c:pt>
                <c:pt idx="16">
                  <c:v>0.0406955590566397</c:v>
                </c:pt>
                <c:pt idx="17">
                  <c:v>0.0410316934446872</c:v>
                </c:pt>
                <c:pt idx="18">
                  <c:v>0.0413026204810161</c:v>
                </c:pt>
                <c:pt idx="19">
                  <c:v>0.0415160542023147</c:v>
                </c:pt>
              </c:numCache>
            </c:numRef>
          </c:yVal>
          <c:smooth val="1"/>
        </c:ser>
        <c:dLbls/>
        <c:axId val="601242344"/>
        <c:axId val="601280776"/>
      </c:scatterChart>
      <c:valAx>
        <c:axId val="60124234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Term (Years)</a:t>
                </a:r>
              </a:p>
            </c:rich>
          </c:tx>
        </c:title>
        <c:numFmt formatCode="General" sourceLinked="1"/>
        <c:tickLblPos val="nextTo"/>
        <c:crossAx val="601280776"/>
        <c:crosses val="autoZero"/>
        <c:crossBetween val="midCat"/>
      </c:valAx>
      <c:valAx>
        <c:axId val="601280776"/>
        <c:scaling>
          <c:orientation val="minMax"/>
        </c:scaling>
        <c:axPos val="l"/>
        <c:majorGridlines/>
        <c:title>
          <c:tx>
            <c:rich>
              <a:bodyPr rot="0" vert="wordArtVert"/>
              <a:lstStyle/>
              <a:p>
                <a:pPr>
                  <a:defRPr/>
                </a:pPr>
                <a:r>
                  <a:rPr lang="en-US"/>
                  <a:t>Yield to Maturity</a:t>
                </a:r>
              </a:p>
            </c:rich>
          </c:tx>
        </c:title>
        <c:numFmt formatCode="General" sourceLinked="1"/>
        <c:tickLblPos val="nextTo"/>
        <c:crossAx val="601242344"/>
        <c:crosses val="autoZero"/>
        <c:crossBetween val="midCat"/>
      </c:valAx>
    </c:plotArea>
    <c:legend>
      <c:legendPos val="r"/>
    </c:legend>
    <c:plotVisOnly val="1"/>
    <c:dispBlanksAs val="gap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2"/>
  <c:chart>
    <c:title>
      <c:tx>
        <c:rich>
          <a:bodyPr/>
          <a:lstStyle/>
          <a:p>
            <a:pPr>
              <a:defRPr/>
            </a:pPr>
            <a:r>
              <a:rPr lang="en-US"/>
              <a:t>Yield Curve</a:t>
            </a:r>
          </a:p>
        </c:rich>
      </c:tx>
    </c:title>
    <c:plotArea>
      <c:layout>
        <c:manualLayout>
          <c:layoutTarget val="inner"/>
          <c:xMode val="edge"/>
          <c:yMode val="edge"/>
          <c:x val="0.14308573928259"/>
          <c:y val="0.0282524059492563"/>
          <c:w val="0.680872047244095"/>
          <c:h val="0.832619568387285"/>
        </c:manualLayout>
      </c:layout>
      <c:scatterChart>
        <c:scatterStyle val="smoothMarker"/>
        <c:ser>
          <c:idx val="0"/>
          <c:order val="0"/>
          <c:tx>
            <c:v>Base Case</c:v>
          </c:tx>
          <c:marker>
            <c:symbol val="none"/>
          </c:marker>
          <c:xVal>
            <c:numRef>
              <c:f>'NS P3'!$B$5:$B$24</c:f>
              <c:numCache>
                <c:formatCode>General</c:formatCode>
                <c:ptCount val="20"/>
                <c:pt idx="0">
                  <c:v>0.5</c:v>
                </c:pt>
                <c:pt idx="1">
                  <c:v>1.0</c:v>
                </c:pt>
                <c:pt idx="2">
                  <c:v>1.5</c:v>
                </c:pt>
                <c:pt idx="3">
                  <c:v>2.0</c:v>
                </c:pt>
                <c:pt idx="4">
                  <c:v>2.5</c:v>
                </c:pt>
                <c:pt idx="5">
                  <c:v>3.0</c:v>
                </c:pt>
                <c:pt idx="6">
                  <c:v>3.5</c:v>
                </c:pt>
                <c:pt idx="7">
                  <c:v>4.0</c:v>
                </c:pt>
                <c:pt idx="8">
                  <c:v>4.5</c:v>
                </c:pt>
                <c:pt idx="9">
                  <c:v>5.0</c:v>
                </c:pt>
                <c:pt idx="10">
                  <c:v>5.5</c:v>
                </c:pt>
                <c:pt idx="11">
                  <c:v>6.0</c:v>
                </c:pt>
                <c:pt idx="12">
                  <c:v>6.5</c:v>
                </c:pt>
                <c:pt idx="13">
                  <c:v>7.0</c:v>
                </c:pt>
                <c:pt idx="14">
                  <c:v>7.5</c:v>
                </c:pt>
                <c:pt idx="15">
                  <c:v>8.0</c:v>
                </c:pt>
                <c:pt idx="16">
                  <c:v>8.5</c:v>
                </c:pt>
                <c:pt idx="17">
                  <c:v>9.0</c:v>
                </c:pt>
                <c:pt idx="18">
                  <c:v>9.5</c:v>
                </c:pt>
                <c:pt idx="19">
                  <c:v>10.0</c:v>
                </c:pt>
              </c:numCache>
            </c:numRef>
          </c:xVal>
          <c:yVal>
            <c:numRef>
              <c:f>'NS P3'!$C$5:$C$24</c:f>
              <c:numCache>
                <c:formatCode>General</c:formatCode>
                <c:ptCount val="20"/>
                <c:pt idx="0">
                  <c:v>0.0339754958960965</c:v>
                </c:pt>
                <c:pt idx="1">
                  <c:v>0.0366754696936244</c:v>
                </c:pt>
                <c:pt idx="2">
                  <c:v>0.0390128603852462</c:v>
                </c:pt>
                <c:pt idx="3">
                  <c:v>0.0410279905205433</c:v>
                </c:pt>
                <c:pt idx="4">
                  <c:v>0.0427569503540013</c:v>
                </c:pt>
                <c:pt idx="5">
                  <c:v>0.0442320308719844</c:v>
                </c:pt>
                <c:pt idx="6">
                  <c:v>0.0454821131111074</c:v>
                </c:pt>
                <c:pt idx="7">
                  <c:v>0.0465330181443878</c:v>
                </c:pt>
                <c:pt idx="8">
                  <c:v>0.047407821675644</c:v>
                </c:pt>
                <c:pt idx="9">
                  <c:v>0.0481271367899439</c:v>
                </c:pt>
                <c:pt idx="10">
                  <c:v>0.0487093680542459</c:v>
                </c:pt>
                <c:pt idx="11">
                  <c:v>0.0491709398438206</c:v>
                </c:pt>
                <c:pt idx="12">
                  <c:v>0.049526501483143</c:v>
                </c:pt>
                <c:pt idx="13">
                  <c:v>0.049789111531553</c:v>
                </c:pt>
                <c:pt idx="14">
                  <c:v>0.0499704033112724</c:v>
                </c:pt>
                <c:pt idx="15">
                  <c:v>0.0500807335658002</c:v>
                </c:pt>
                <c:pt idx="16">
                  <c:v>0.0501293159479826</c:v>
                </c:pt>
                <c:pt idx="17">
                  <c:v>0.0501243408671121</c:v>
                </c:pt>
                <c:pt idx="18">
                  <c:v>0.0500730830713764</c:v>
                </c:pt>
                <c:pt idx="19">
                  <c:v>0.0499819982041895</c:v>
                </c:pt>
              </c:numCache>
            </c:numRef>
          </c:yVal>
          <c:smooth val="1"/>
        </c:ser>
        <c:ser>
          <c:idx val="1"/>
          <c:order val="1"/>
          <c:tx>
            <c:v>New Case</c:v>
          </c:tx>
          <c:marker>
            <c:symbol val="none"/>
          </c:marker>
          <c:xVal>
            <c:numRef>
              <c:f>'NS P3'!$B$5:$B$24</c:f>
              <c:numCache>
                <c:formatCode>General</c:formatCode>
                <c:ptCount val="20"/>
                <c:pt idx="0">
                  <c:v>0.5</c:v>
                </c:pt>
                <c:pt idx="1">
                  <c:v>1.0</c:v>
                </c:pt>
                <c:pt idx="2">
                  <c:v>1.5</c:v>
                </c:pt>
                <c:pt idx="3">
                  <c:v>2.0</c:v>
                </c:pt>
                <c:pt idx="4">
                  <c:v>2.5</c:v>
                </c:pt>
                <c:pt idx="5">
                  <c:v>3.0</c:v>
                </c:pt>
                <c:pt idx="6">
                  <c:v>3.5</c:v>
                </c:pt>
                <c:pt idx="7">
                  <c:v>4.0</c:v>
                </c:pt>
                <c:pt idx="8">
                  <c:v>4.5</c:v>
                </c:pt>
                <c:pt idx="9">
                  <c:v>5.0</c:v>
                </c:pt>
                <c:pt idx="10">
                  <c:v>5.5</c:v>
                </c:pt>
                <c:pt idx="11">
                  <c:v>6.0</c:v>
                </c:pt>
                <c:pt idx="12">
                  <c:v>6.5</c:v>
                </c:pt>
                <c:pt idx="13">
                  <c:v>7.0</c:v>
                </c:pt>
                <c:pt idx="14">
                  <c:v>7.5</c:v>
                </c:pt>
                <c:pt idx="15">
                  <c:v>8.0</c:v>
                </c:pt>
                <c:pt idx="16">
                  <c:v>8.5</c:v>
                </c:pt>
                <c:pt idx="17">
                  <c:v>9.0</c:v>
                </c:pt>
                <c:pt idx="18">
                  <c:v>9.5</c:v>
                </c:pt>
                <c:pt idx="19">
                  <c:v>10.0</c:v>
                </c:pt>
              </c:numCache>
            </c:numRef>
          </c:xVal>
          <c:yVal>
            <c:numRef>
              <c:f>'NS P3'!$C$31:$C$50</c:f>
              <c:numCache>
                <c:formatCode>General</c:formatCode>
                <c:ptCount val="20"/>
                <c:pt idx="0">
                  <c:v>0.0327933944054104</c:v>
                </c:pt>
                <c:pt idx="1">
                  <c:v>0.0344663216438983</c:v>
                </c:pt>
                <c:pt idx="2">
                  <c:v>0.0359145892376736</c:v>
                </c:pt>
                <c:pt idx="3">
                  <c:v>0.0371631813890207</c:v>
                </c:pt>
                <c:pt idx="4">
                  <c:v>0.0382344599333872</c:v>
                </c:pt>
                <c:pt idx="5">
                  <c:v>0.0391484326466618</c:v>
                </c:pt>
                <c:pt idx="6">
                  <c:v>0.0399229944702222</c:v>
                </c:pt>
                <c:pt idx="7">
                  <c:v>0.0405741443653985</c:v>
                </c:pt>
                <c:pt idx="8">
                  <c:v>0.0411161802388961</c:v>
                </c:pt>
                <c:pt idx="9">
                  <c:v>0.0415618741374332</c:v>
                </c:pt>
                <c:pt idx="10">
                  <c:v>0.0419226296907064</c:v>
                </c:pt>
                <c:pt idx="11">
                  <c:v>0.0422086235844264</c:v>
                </c:pt>
                <c:pt idx="12">
                  <c:v>0.0424289326673991</c:v>
                </c:pt>
                <c:pt idx="13">
                  <c:v>0.0425916481365225</c:v>
                </c:pt>
                <c:pt idx="14">
                  <c:v>0.0427039780993853</c:v>
                </c:pt>
                <c:pt idx="15">
                  <c:v>0.0427723396843006</c:v>
                </c:pt>
                <c:pt idx="16">
                  <c:v>0.0428024417506754</c:v>
                </c:pt>
                <c:pt idx="17">
                  <c:v>0.0427993591473148</c:v>
                </c:pt>
                <c:pt idx="18">
                  <c:v>0.0427675993714423</c:v>
                </c:pt>
                <c:pt idx="19">
                  <c:v>0.0427111623958426</c:v>
                </c:pt>
              </c:numCache>
            </c:numRef>
          </c:yVal>
          <c:smooth val="1"/>
        </c:ser>
        <c:dLbls/>
        <c:axId val="601519496"/>
        <c:axId val="601531464"/>
      </c:scatterChart>
      <c:valAx>
        <c:axId val="60151949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Term (Years)</a:t>
                </a:r>
              </a:p>
            </c:rich>
          </c:tx>
        </c:title>
        <c:numFmt formatCode="General" sourceLinked="1"/>
        <c:tickLblPos val="nextTo"/>
        <c:crossAx val="601531464"/>
        <c:crosses val="autoZero"/>
        <c:crossBetween val="midCat"/>
      </c:valAx>
      <c:valAx>
        <c:axId val="601531464"/>
        <c:scaling>
          <c:orientation val="minMax"/>
        </c:scaling>
        <c:axPos val="l"/>
        <c:majorGridlines/>
        <c:title>
          <c:tx>
            <c:rich>
              <a:bodyPr rot="0" vert="wordArtVert"/>
              <a:lstStyle/>
              <a:p>
                <a:pPr>
                  <a:defRPr/>
                </a:pPr>
                <a:r>
                  <a:rPr lang="en-US"/>
                  <a:t>Yield to Maturity</a:t>
                </a:r>
              </a:p>
            </c:rich>
          </c:tx>
        </c:title>
        <c:numFmt formatCode="General" sourceLinked="1"/>
        <c:tickLblPos val="nextTo"/>
        <c:crossAx val="601519496"/>
        <c:crosses val="autoZero"/>
        <c:crossBetween val="midCat"/>
      </c:valAx>
    </c:plotArea>
    <c:legend>
      <c:legendPos val="r"/>
    </c:legend>
    <c:plotVisOnly val="1"/>
    <c:dispBlanksAs val="gap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2"/>
  <c:chart>
    <c:title>
      <c:tx>
        <c:rich>
          <a:bodyPr/>
          <a:lstStyle/>
          <a:p>
            <a:pPr>
              <a:defRPr/>
            </a:pPr>
            <a:r>
              <a:rPr lang="en-US"/>
              <a:t>Yield Curve</a:t>
            </a:r>
          </a:p>
        </c:rich>
      </c:tx>
    </c:title>
    <c:plotArea>
      <c:layout>
        <c:manualLayout>
          <c:layoutTarget val="inner"/>
          <c:xMode val="edge"/>
          <c:yMode val="edge"/>
          <c:x val="0.14308573928259"/>
          <c:y val="0.0282524059492563"/>
          <c:w val="0.680872047244095"/>
          <c:h val="0.832619568387285"/>
        </c:manualLayout>
      </c:layout>
      <c:scatterChart>
        <c:scatterStyle val="smoothMarker"/>
        <c:ser>
          <c:idx val="0"/>
          <c:order val="0"/>
          <c:tx>
            <c:v>Base Case</c:v>
          </c:tx>
          <c:marker>
            <c:symbol val="none"/>
          </c:marker>
          <c:xVal>
            <c:numRef>
              <c:f>'NS P4'!$B$5:$B$24</c:f>
              <c:numCache>
                <c:formatCode>General</c:formatCode>
                <c:ptCount val="20"/>
                <c:pt idx="0">
                  <c:v>0.5</c:v>
                </c:pt>
                <c:pt idx="1">
                  <c:v>1.0</c:v>
                </c:pt>
                <c:pt idx="2">
                  <c:v>1.5</c:v>
                </c:pt>
                <c:pt idx="3">
                  <c:v>2.0</c:v>
                </c:pt>
                <c:pt idx="4">
                  <c:v>2.5</c:v>
                </c:pt>
                <c:pt idx="5">
                  <c:v>3.0</c:v>
                </c:pt>
                <c:pt idx="6">
                  <c:v>3.5</c:v>
                </c:pt>
                <c:pt idx="7">
                  <c:v>4.0</c:v>
                </c:pt>
                <c:pt idx="8">
                  <c:v>4.5</c:v>
                </c:pt>
                <c:pt idx="9">
                  <c:v>5.0</c:v>
                </c:pt>
                <c:pt idx="10">
                  <c:v>5.5</c:v>
                </c:pt>
                <c:pt idx="11">
                  <c:v>6.0</c:v>
                </c:pt>
                <c:pt idx="12">
                  <c:v>6.5</c:v>
                </c:pt>
                <c:pt idx="13">
                  <c:v>7.0</c:v>
                </c:pt>
                <c:pt idx="14">
                  <c:v>7.5</c:v>
                </c:pt>
                <c:pt idx="15">
                  <c:v>8.0</c:v>
                </c:pt>
                <c:pt idx="16">
                  <c:v>8.5</c:v>
                </c:pt>
                <c:pt idx="17">
                  <c:v>9.0</c:v>
                </c:pt>
                <c:pt idx="18">
                  <c:v>9.5</c:v>
                </c:pt>
                <c:pt idx="19">
                  <c:v>10.0</c:v>
                </c:pt>
              </c:numCache>
            </c:numRef>
          </c:xVal>
          <c:yVal>
            <c:numRef>
              <c:f>'NS P4'!$C$5:$C$24</c:f>
              <c:numCache>
                <c:formatCode>General</c:formatCode>
                <c:ptCount val="20"/>
                <c:pt idx="0">
                  <c:v>0.0339754958960965</c:v>
                </c:pt>
                <c:pt idx="1">
                  <c:v>0.0366754696936244</c:v>
                </c:pt>
                <c:pt idx="2">
                  <c:v>0.0390128603852462</c:v>
                </c:pt>
                <c:pt idx="3">
                  <c:v>0.0410279905205433</c:v>
                </c:pt>
                <c:pt idx="4">
                  <c:v>0.0427569503540013</c:v>
                </c:pt>
                <c:pt idx="5">
                  <c:v>0.0442320308719844</c:v>
                </c:pt>
                <c:pt idx="6">
                  <c:v>0.0454821131111074</c:v>
                </c:pt>
                <c:pt idx="7">
                  <c:v>0.0465330181443878</c:v>
                </c:pt>
                <c:pt idx="8">
                  <c:v>0.047407821675644</c:v>
                </c:pt>
                <c:pt idx="9">
                  <c:v>0.0481271367899439</c:v>
                </c:pt>
                <c:pt idx="10">
                  <c:v>0.0487093680542459</c:v>
                </c:pt>
                <c:pt idx="11">
                  <c:v>0.0491709398438206</c:v>
                </c:pt>
                <c:pt idx="12">
                  <c:v>0.049526501483143</c:v>
                </c:pt>
                <c:pt idx="13">
                  <c:v>0.049789111531553</c:v>
                </c:pt>
                <c:pt idx="14">
                  <c:v>0.0499704033112724</c:v>
                </c:pt>
                <c:pt idx="15">
                  <c:v>0.0500807335658002</c:v>
                </c:pt>
                <c:pt idx="16">
                  <c:v>0.0501293159479826</c:v>
                </c:pt>
                <c:pt idx="17">
                  <c:v>0.0501243408671121</c:v>
                </c:pt>
                <c:pt idx="18">
                  <c:v>0.0500730830713764</c:v>
                </c:pt>
                <c:pt idx="19">
                  <c:v>0.0499819982041895</c:v>
                </c:pt>
              </c:numCache>
            </c:numRef>
          </c:yVal>
          <c:smooth val="1"/>
        </c:ser>
        <c:ser>
          <c:idx val="1"/>
          <c:order val="1"/>
          <c:tx>
            <c:v>New Case</c:v>
          </c:tx>
          <c:marker>
            <c:symbol val="none"/>
          </c:marker>
          <c:xVal>
            <c:numRef>
              <c:f>'NS P4'!$B$5:$B$24</c:f>
              <c:numCache>
                <c:formatCode>General</c:formatCode>
                <c:ptCount val="20"/>
                <c:pt idx="0">
                  <c:v>0.5</c:v>
                </c:pt>
                <c:pt idx="1">
                  <c:v>1.0</c:v>
                </c:pt>
                <c:pt idx="2">
                  <c:v>1.5</c:v>
                </c:pt>
                <c:pt idx="3">
                  <c:v>2.0</c:v>
                </c:pt>
                <c:pt idx="4">
                  <c:v>2.5</c:v>
                </c:pt>
                <c:pt idx="5">
                  <c:v>3.0</c:v>
                </c:pt>
                <c:pt idx="6">
                  <c:v>3.5</c:v>
                </c:pt>
                <c:pt idx="7">
                  <c:v>4.0</c:v>
                </c:pt>
                <c:pt idx="8">
                  <c:v>4.5</c:v>
                </c:pt>
                <c:pt idx="9">
                  <c:v>5.0</c:v>
                </c:pt>
                <c:pt idx="10">
                  <c:v>5.5</c:v>
                </c:pt>
                <c:pt idx="11">
                  <c:v>6.0</c:v>
                </c:pt>
                <c:pt idx="12">
                  <c:v>6.5</c:v>
                </c:pt>
                <c:pt idx="13">
                  <c:v>7.0</c:v>
                </c:pt>
                <c:pt idx="14">
                  <c:v>7.5</c:v>
                </c:pt>
                <c:pt idx="15">
                  <c:v>8.0</c:v>
                </c:pt>
                <c:pt idx="16">
                  <c:v>8.5</c:v>
                </c:pt>
                <c:pt idx="17">
                  <c:v>9.0</c:v>
                </c:pt>
                <c:pt idx="18">
                  <c:v>9.5</c:v>
                </c:pt>
                <c:pt idx="19">
                  <c:v>10.0</c:v>
                </c:pt>
              </c:numCache>
            </c:numRef>
          </c:xVal>
          <c:yVal>
            <c:numRef>
              <c:f>'NS P4'!$C$31:$C$50</c:f>
              <c:numCache>
                <c:formatCode>General</c:formatCode>
                <c:ptCount val="20"/>
                <c:pt idx="0">
                  <c:v>0.042514480310756</c:v>
                </c:pt>
                <c:pt idx="1">
                  <c:v>0.0479264829252093</c:v>
                </c:pt>
                <c:pt idx="2">
                  <c:v>0.0498981756440828</c:v>
                </c:pt>
                <c:pt idx="3">
                  <c:v>0.0500411051250459</c:v>
                </c:pt>
                <c:pt idx="4">
                  <c:v>0.0492718406951461</c:v>
                </c:pt>
                <c:pt idx="5">
                  <c:v>0.0481013970527023</c:v>
                </c:pt>
                <c:pt idx="6">
                  <c:v>0.0468062895277658</c:v>
                </c:pt>
                <c:pt idx="7">
                  <c:v>0.0455291204202373</c:v>
                </c:pt>
                <c:pt idx="8">
                  <c:v>0.0443373429786606</c:v>
                </c:pt>
                <c:pt idx="9">
                  <c:v>0.0432573002776574</c:v>
                </c:pt>
                <c:pt idx="10">
                  <c:v>0.0422937177638123</c:v>
                </c:pt>
                <c:pt idx="11">
                  <c:v>0.0414406908758259</c:v>
                </c:pt>
                <c:pt idx="12">
                  <c:v>0.0406877399941099</c:v>
                </c:pt>
                <c:pt idx="13">
                  <c:v>0.0400230350358783</c:v>
                </c:pt>
                <c:pt idx="14">
                  <c:v>0.0394350195514445</c:v>
                </c:pt>
                <c:pt idx="15">
                  <c:v>0.038913148253296</c:v>
                </c:pt>
                <c:pt idx="16">
                  <c:v>0.0384481482225244</c:v>
                </c:pt>
                <c:pt idx="17">
                  <c:v>0.0380320363147792</c:v>
                </c:pt>
                <c:pt idx="18">
                  <c:v>0.0376580220546228</c:v>
                </c:pt>
                <c:pt idx="19">
                  <c:v>0.037320365924336</c:v>
                </c:pt>
              </c:numCache>
            </c:numRef>
          </c:yVal>
          <c:smooth val="1"/>
        </c:ser>
        <c:dLbls/>
        <c:axId val="601577912"/>
        <c:axId val="601589880"/>
      </c:scatterChart>
      <c:valAx>
        <c:axId val="60157791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Term (Years)</a:t>
                </a:r>
              </a:p>
            </c:rich>
          </c:tx>
        </c:title>
        <c:numFmt formatCode="General" sourceLinked="1"/>
        <c:tickLblPos val="nextTo"/>
        <c:crossAx val="601589880"/>
        <c:crosses val="autoZero"/>
        <c:crossBetween val="midCat"/>
      </c:valAx>
      <c:valAx>
        <c:axId val="601589880"/>
        <c:scaling>
          <c:orientation val="minMax"/>
        </c:scaling>
        <c:axPos val="l"/>
        <c:majorGridlines/>
        <c:title>
          <c:tx>
            <c:rich>
              <a:bodyPr rot="0" vert="wordArtVert"/>
              <a:lstStyle/>
              <a:p>
                <a:pPr>
                  <a:defRPr/>
                </a:pPr>
                <a:r>
                  <a:rPr lang="en-US"/>
                  <a:t>Yield to Maturity</a:t>
                </a:r>
              </a:p>
            </c:rich>
          </c:tx>
        </c:title>
        <c:numFmt formatCode="General" sourceLinked="1"/>
        <c:tickLblPos val="nextTo"/>
        <c:crossAx val="601577912"/>
        <c:crosses val="autoZero"/>
        <c:crossBetween val="midCat"/>
      </c:valAx>
    </c:plotArea>
    <c:legend>
      <c:legendPos val="r"/>
    </c:legend>
    <c:plotVisOnly val="1"/>
    <c:dispBlanksAs val="gap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647700</xdr:colOff>
      <xdr:row>3</xdr:row>
      <xdr:rowOff>100011</xdr:rowOff>
    </xdr:from>
    <xdr:to>
      <xdr:col>16</xdr:col>
      <xdr:colOff>304800</xdr:colOff>
      <xdr:row>34</xdr:row>
      <xdr:rowOff>114300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571500</xdr:colOff>
      <xdr:row>2</xdr:row>
      <xdr:rowOff>114300</xdr:rowOff>
    </xdr:from>
    <xdr:to>
      <xdr:col>17</xdr:col>
      <xdr:colOff>228600</xdr:colOff>
      <xdr:row>33</xdr:row>
      <xdr:rowOff>128589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3</xdr:row>
      <xdr:rowOff>0</xdr:rowOff>
    </xdr:from>
    <xdr:to>
      <xdr:col>18</xdr:col>
      <xdr:colOff>342900</xdr:colOff>
      <xdr:row>34</xdr:row>
      <xdr:rowOff>14289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5</xdr:row>
      <xdr:rowOff>0</xdr:rowOff>
    </xdr:from>
    <xdr:to>
      <xdr:col>17</xdr:col>
      <xdr:colOff>342900</xdr:colOff>
      <xdr:row>36</xdr:row>
      <xdr:rowOff>14289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385762</xdr:colOff>
      <xdr:row>5</xdr:row>
      <xdr:rowOff>109537</xdr:rowOff>
    </xdr:from>
    <xdr:ext cx="914400" cy="412613"/>
    <xdr:sp macro="" textlink="">
      <xdr:nvSpPr>
        <xdr:cNvPr id="2" name="TextBox 1"/>
        <xdr:cNvSpPr txBox="1"/>
      </xdr:nvSpPr>
      <xdr:spPr>
        <a:xfrm>
          <a:off x="1757362" y="919162"/>
          <a:ext cx="914400" cy="4126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r>
            <a:rPr lang="en-US" sz="1100" b="0" i="0">
              <a:latin typeface="Cambria Math"/>
            </a:rPr>
            <a:t>𝐷=−1/𝑃</a:t>
          </a:r>
          <a:r>
            <a:rPr lang="en-US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100" b="0" i="0">
              <a:solidFill>
                <a:schemeClr val="tx1"/>
              </a:solidFill>
              <a:effectLst/>
              <a:latin typeface="Cambria Math"/>
              <a:ea typeface="+mn-ea"/>
              <a:cs typeface="+mn-cs"/>
            </a:rPr>
            <a:t> 𝑑𝑃</a:t>
          </a:r>
          <a:r>
            <a:rPr lang="en-US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/</a:t>
          </a:r>
          <a:r>
            <a:rPr lang="en-US" sz="1100" b="0" i="0">
              <a:solidFill>
                <a:schemeClr val="tx1"/>
              </a:solidFill>
              <a:effectLst/>
              <a:latin typeface="Cambria Math"/>
              <a:ea typeface="+mn-ea"/>
              <a:cs typeface="+mn-cs"/>
            </a:rPr>
            <a:t>𝑑𝑟</a:t>
          </a:r>
          <a:endParaRPr lang="en-US" sz="1100"/>
        </a:p>
      </xdr:txBody>
    </xdr:sp>
    <xdr:clientData/>
  </xdr:oneCellAnchor>
  <xdr:oneCellAnchor>
    <xdr:from>
      <xdr:col>4</xdr:col>
      <xdr:colOff>14286</xdr:colOff>
      <xdr:row>14</xdr:row>
      <xdr:rowOff>23812</xdr:rowOff>
    </xdr:from>
    <xdr:ext cx="2424114" cy="332592"/>
    <xdr:sp macro="" textlink="">
      <xdr:nvSpPr>
        <xdr:cNvPr id="3" name="TextBox 2"/>
        <xdr:cNvSpPr txBox="1"/>
      </xdr:nvSpPr>
      <xdr:spPr>
        <a:xfrm>
          <a:off x="2757486" y="2128837"/>
          <a:ext cx="2424114" cy="33259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100" b="0" i="0">
              <a:latin typeface="Cambria Math"/>
            </a:rPr>
            <a:t>𝐷_𝐸^ </a:t>
          </a:r>
          <a:r>
            <a:rPr lang="en-US" sz="1100"/>
            <a:t> = </a:t>
          </a:r>
          <a:r>
            <a:rPr lang="en-US" sz="1100" b="0" i="0">
              <a:latin typeface="Cambria Math"/>
            </a:rPr>
            <a:t>𝐴/(𝐴−𝐿)</a:t>
          </a:r>
          <a:r>
            <a:rPr lang="en-US" sz="1100" i="0">
              <a:latin typeface="Cambria Math"/>
              <a:ea typeface="Cambria Math"/>
            </a:rPr>
            <a:t>×</a:t>
          </a:r>
          <a:r>
            <a:rPr lang="en-US" sz="1100" b="0" i="0">
              <a:latin typeface="Cambria Math"/>
              <a:ea typeface="Cambria Math"/>
            </a:rPr>
            <a:t>𝐷_𝐴</a:t>
          </a:r>
          <a:r>
            <a:rPr lang="en-US" sz="1100"/>
            <a:t> - </a:t>
          </a:r>
          <a:r>
            <a:rPr lang="en-US" sz="1100" b="0" i="0">
              <a:latin typeface="Cambria Math"/>
            </a:rPr>
            <a:t>𝐿/(𝐴−𝐿)</a:t>
          </a:r>
          <a:r>
            <a:rPr lang="en-US" sz="1100" i="0">
              <a:latin typeface="Cambria Math"/>
              <a:ea typeface="Cambria Math"/>
            </a:rPr>
            <a:t>×</a:t>
          </a:r>
          <a:r>
            <a:rPr lang="en-US" sz="1100" b="0" i="0">
              <a:latin typeface="Cambria Math"/>
              <a:ea typeface="Cambria Math"/>
            </a:rPr>
            <a:t>𝐷_𝐿</a:t>
          </a:r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oleObject" Target="../embeddings/Microsoft_Equation1.bin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N131"/>
  <sheetViews>
    <sheetView workbookViewId="0">
      <selection activeCell="G34" sqref="G34"/>
    </sheetView>
  </sheetViews>
  <sheetFormatPr baseColWidth="10" defaultColWidth="11" defaultRowHeight="13"/>
  <cols>
    <col min="1" max="1" width="12.28515625" customWidth="1"/>
    <col min="3" max="3" width="15.42578125" customWidth="1"/>
    <col min="5" max="5" width="12.140625" customWidth="1"/>
  </cols>
  <sheetData>
    <row r="1" spans="1:14">
      <c r="A1" t="s">
        <v>82</v>
      </c>
    </row>
    <row r="2" spans="1:14">
      <c r="A2" t="s">
        <v>83</v>
      </c>
      <c r="B2" s="3" t="s">
        <v>84</v>
      </c>
    </row>
    <row r="4" spans="1:14">
      <c r="A4" t="s">
        <v>118</v>
      </c>
    </row>
    <row r="6" spans="1:14">
      <c r="A6" t="s">
        <v>119</v>
      </c>
    </row>
    <row r="7" spans="1:14">
      <c r="B7" t="s">
        <v>120</v>
      </c>
    </row>
    <row r="8" spans="1:14">
      <c r="A8" t="s">
        <v>131</v>
      </c>
      <c r="B8" s="1">
        <v>32872</v>
      </c>
    </row>
    <row r="9" spans="1:14">
      <c r="C9" t="s">
        <v>132</v>
      </c>
      <c r="D9" t="s">
        <v>133</v>
      </c>
      <c r="E9" t="s">
        <v>134</v>
      </c>
      <c r="F9" t="s">
        <v>135</v>
      </c>
      <c r="G9" t="s">
        <v>136</v>
      </c>
      <c r="H9" t="s">
        <v>137</v>
      </c>
      <c r="L9" t="s">
        <v>142</v>
      </c>
      <c r="N9" t="s">
        <v>143</v>
      </c>
    </row>
    <row r="10" spans="1:14">
      <c r="C10" s="4">
        <v>33053</v>
      </c>
      <c r="D10">
        <v>0</v>
      </c>
      <c r="E10">
        <v>98.391099999999994</v>
      </c>
      <c r="F10">
        <v>98.401200000000003</v>
      </c>
      <c r="G10" s="2">
        <f>E10/100</f>
        <v>0.98391099999999998</v>
      </c>
      <c r="H10" s="2">
        <f>F10/100</f>
        <v>0.984012</v>
      </c>
      <c r="I10" t="s">
        <v>138</v>
      </c>
    </row>
    <row r="11" spans="1:14">
      <c r="C11" s="4">
        <v>33237</v>
      </c>
      <c r="D11">
        <v>7.625</v>
      </c>
      <c r="E11">
        <v>103.8125</v>
      </c>
      <c r="F11">
        <v>103.875</v>
      </c>
      <c r="G11" s="2">
        <f>I12/I13</f>
        <v>0.96386600180614079</v>
      </c>
      <c r="H11" s="2">
        <f>J12/J13</f>
        <v>0.96446433955448518</v>
      </c>
      <c r="I11">
        <f>0.5*D11*G10</f>
        <v>3.7511606875000001</v>
      </c>
      <c r="J11">
        <f>0.5*D11*H10</f>
        <v>3.75154575</v>
      </c>
      <c r="L11">
        <v>15</v>
      </c>
      <c r="N11">
        <f>L11*0.5*(G11+H11)</f>
        <v>14.462477560204693</v>
      </c>
    </row>
    <row r="12" spans="1:14">
      <c r="C12" s="1"/>
      <c r="I12">
        <f>E11-I11</f>
        <v>100.0613393125</v>
      </c>
      <c r="J12">
        <f>F11-J11</f>
        <v>100.12345424999999</v>
      </c>
    </row>
    <row r="13" spans="1:14">
      <c r="C13" s="1"/>
      <c r="I13">
        <f>(100+0.5*D11)</f>
        <v>103.8125</v>
      </c>
      <c r="J13">
        <f>(100+0.5*D11)</f>
        <v>103.8125</v>
      </c>
    </row>
    <row r="14" spans="1:14">
      <c r="C14" s="1"/>
    </row>
    <row r="15" spans="1:14">
      <c r="C15" s="4">
        <v>33418</v>
      </c>
      <c r="D15">
        <v>4.125</v>
      </c>
      <c r="E15">
        <v>100.1875</v>
      </c>
      <c r="F15">
        <v>100.25</v>
      </c>
      <c r="G15" s="2">
        <f>I17/I18</f>
        <v>0.94226782543808774</v>
      </c>
      <c r="H15" s="2">
        <f>J17/J18</f>
        <v>0.94286606294837838</v>
      </c>
      <c r="I15">
        <f>0.5*$D15*G10</f>
        <v>2.0293164374999999</v>
      </c>
      <c r="J15">
        <f>0.5*$D15*H10</f>
        <v>2.0295247500000002</v>
      </c>
    </row>
    <row r="16" spans="1:14">
      <c r="C16" s="1"/>
      <c r="I16">
        <f>0.5*$D15*G11</f>
        <v>1.9879736287251655</v>
      </c>
      <c r="J16">
        <f>0.5*$D15*H11</f>
        <v>1.9892077003311257</v>
      </c>
    </row>
    <row r="17" spans="3:14">
      <c r="C17" s="1"/>
      <c r="I17">
        <f>E15-I15-I16</f>
        <v>96.170209933774828</v>
      </c>
      <c r="J17">
        <f>F15-J15-J16</f>
        <v>96.231267549668871</v>
      </c>
    </row>
    <row r="18" spans="3:14">
      <c r="C18" s="1"/>
      <c r="I18">
        <f>100+0.5*D15</f>
        <v>102.0625</v>
      </c>
      <c r="J18">
        <f>100+0.5*D15</f>
        <v>102.0625</v>
      </c>
    </row>
    <row r="19" spans="3:14">
      <c r="C19" s="1"/>
    </row>
    <row r="20" spans="3:14">
      <c r="C20" s="4">
        <v>33602</v>
      </c>
      <c r="D20">
        <v>4.25</v>
      </c>
      <c r="E20">
        <v>100</v>
      </c>
      <c r="F20">
        <v>100.0625</v>
      </c>
      <c r="G20" s="2">
        <f>I23/I24</f>
        <v>0.91905659478194379</v>
      </c>
      <c r="H20" s="2">
        <f>J23/J24</f>
        <v>0.91964159015599922</v>
      </c>
      <c r="I20">
        <f>0.5*$D20*G10</f>
        <v>2.0908108749999998</v>
      </c>
      <c r="J20">
        <f>0.5*$D20*H10</f>
        <v>2.0910255000000002</v>
      </c>
      <c r="L20">
        <v>15</v>
      </c>
      <c r="N20">
        <f>L20*0.5*(G20+H20)</f>
        <v>13.790236387034573</v>
      </c>
    </row>
    <row r="21" spans="3:14">
      <c r="C21" s="1"/>
      <c r="I21">
        <f>0.5*$D20*G11</f>
        <v>2.0482152538380491</v>
      </c>
      <c r="J21">
        <f>0.5*$D20*H11</f>
        <v>2.049486721553281</v>
      </c>
    </row>
    <row r="22" spans="3:14">
      <c r="C22" s="1"/>
      <c r="I22">
        <f>0.5*$D20*G15</f>
        <v>2.0023191290559366</v>
      </c>
      <c r="J22">
        <f>0.5*$D20*H15</f>
        <v>2.003590383765304</v>
      </c>
    </row>
    <row r="23" spans="3:14">
      <c r="C23" s="1"/>
      <c r="I23">
        <f>E20-I20-I21-I22</f>
        <v>93.858654742106012</v>
      </c>
      <c r="J23">
        <f>F20-J20-J21-J22</f>
        <v>93.918397394681421</v>
      </c>
    </row>
    <row r="24" spans="3:14">
      <c r="C24" s="1"/>
      <c r="I24">
        <f>100+0.5*D20</f>
        <v>102.125</v>
      </c>
      <c r="J24">
        <f>100+0.5*D20</f>
        <v>102.125</v>
      </c>
    </row>
    <row r="25" spans="3:14">
      <c r="C25" s="1"/>
    </row>
    <row r="26" spans="3:14">
      <c r="C26" s="4">
        <v>33784</v>
      </c>
      <c r="D26">
        <v>7.875</v>
      </c>
      <c r="E26">
        <v>108.6875</v>
      </c>
      <c r="F26">
        <v>108.75</v>
      </c>
      <c r="G26" s="2">
        <f>I30/I31</f>
        <v>0.90139904414452865</v>
      </c>
      <c r="H26" s="2">
        <f>J30/J31</f>
        <v>0.90192904898526249</v>
      </c>
      <c r="I26">
        <f>0.5*$D$26*G10</f>
        <v>3.8741495625</v>
      </c>
      <c r="J26">
        <f>0.5*$D$26*H10</f>
        <v>3.87454725</v>
      </c>
    </row>
    <row r="27" spans="3:14">
      <c r="C27" s="1"/>
      <c r="I27">
        <f t="shared" ref="I27:J27" si="0">0.5*$D$26*G11</f>
        <v>3.7952223821116795</v>
      </c>
      <c r="J27">
        <f t="shared" si="0"/>
        <v>3.7975783369957856</v>
      </c>
    </row>
    <row r="28" spans="3:14">
      <c r="C28" s="1"/>
      <c r="I28">
        <f>0.5*$D$26*G15</f>
        <v>3.7101795626624705</v>
      </c>
      <c r="J28">
        <f>0.5*$D$26*H15</f>
        <v>3.71253512285924</v>
      </c>
    </row>
    <row r="29" spans="3:14">
      <c r="C29" s="1"/>
      <c r="I29">
        <f>0.5*$D$26*G20</f>
        <v>3.6187853419539038</v>
      </c>
      <c r="J29">
        <f>0.5*$D$26*H20</f>
        <v>3.6210887612392471</v>
      </c>
    </row>
    <row r="30" spans="3:14">
      <c r="C30" s="1"/>
      <c r="I30">
        <f>E26-I26-I27-I28-I29</f>
        <v>93.689163150771947</v>
      </c>
      <c r="J30">
        <f>F26-J26-J27-J28-J29</f>
        <v>93.744250528905724</v>
      </c>
    </row>
    <row r="31" spans="3:14">
      <c r="C31" s="1"/>
      <c r="I31">
        <f>100+0.5*D26</f>
        <v>103.9375</v>
      </c>
      <c r="J31">
        <f>100+0.5*D26</f>
        <v>103.9375</v>
      </c>
    </row>
    <row r="32" spans="3:14">
      <c r="C32" s="1"/>
    </row>
    <row r="33" spans="1:14">
      <c r="C33" s="1"/>
    </row>
    <row r="34" spans="1:14">
      <c r="C34" s="4">
        <v>33968</v>
      </c>
      <c r="D34">
        <v>6.125</v>
      </c>
      <c r="E34">
        <v>104.5313</v>
      </c>
      <c r="F34">
        <v>104.5938</v>
      </c>
      <c r="G34" s="2">
        <f>I39/I40</f>
        <v>0.8742791250197911</v>
      </c>
      <c r="H34" s="2">
        <f>J39/J40</f>
        <v>0.87481386352907076</v>
      </c>
      <c r="I34">
        <f>0.5*$D$34*G10</f>
        <v>3.0132274374999999</v>
      </c>
      <c r="J34">
        <f>0.5*$D$34*H10</f>
        <v>3.0135367500000001</v>
      </c>
      <c r="L34">
        <f>$A$57+100</f>
        <v>115</v>
      </c>
      <c r="N34">
        <f>L34*0.5*(G34+H34)</f>
        <v>100.57284684155957</v>
      </c>
    </row>
    <row r="35" spans="1:14">
      <c r="C35" s="1"/>
      <c r="I35">
        <f t="shared" ref="I35:J35" si="1">0.5*$D$34*G11</f>
        <v>2.9518396305313064</v>
      </c>
      <c r="J35">
        <f t="shared" si="1"/>
        <v>2.9536720398856109</v>
      </c>
    </row>
    <row r="36" spans="1:14">
      <c r="C36" s="1"/>
      <c r="I36">
        <f>0.5*$D$34*G15</f>
        <v>2.8856952154041435</v>
      </c>
      <c r="J36">
        <f>0.5*$D$34*H15</f>
        <v>2.887527317779409</v>
      </c>
    </row>
    <row r="37" spans="1:14">
      <c r="C37" s="1"/>
      <c r="I37">
        <f>0.5*$D$34*G20</f>
        <v>2.814610821519703</v>
      </c>
      <c r="J37">
        <f>0.5*$D$34*H20</f>
        <v>2.8164023698527476</v>
      </c>
    </row>
    <row r="38" spans="1:14">
      <c r="C38" s="1"/>
      <c r="I38">
        <f>0.5*$D$34*G26</f>
        <v>2.7605345726926189</v>
      </c>
      <c r="J38">
        <f>0.5*$D$34*H26</f>
        <v>2.7621577125173662</v>
      </c>
    </row>
    <row r="39" spans="1:14">
      <c r="C39" s="1"/>
      <c r="I39">
        <f>E34-I34-I35-I36-I37-I38</f>
        <v>90.105392322352216</v>
      </c>
      <c r="J39">
        <f>F34-J34-J35-J36-J37-J38</f>
        <v>90.160503809964851</v>
      </c>
    </row>
    <row r="40" spans="1:14">
      <c r="C40" s="1"/>
      <c r="I40">
        <f>100+0.5*D34</f>
        <v>103.0625</v>
      </c>
      <c r="J40">
        <f>100+0.5*D34</f>
        <v>103.0625</v>
      </c>
    </row>
    <row r="41" spans="1:14">
      <c r="C41" s="1"/>
    </row>
    <row r="42" spans="1:14">
      <c r="A42" t="s">
        <v>121</v>
      </c>
    </row>
    <row r="45" spans="1:14" ht="15">
      <c r="A45" s="6" t="s">
        <v>95</v>
      </c>
    </row>
    <row r="46" spans="1:14">
      <c r="A46" t="s">
        <v>123</v>
      </c>
      <c r="C46" t="s">
        <v>124</v>
      </c>
      <c r="D46" t="s">
        <v>125</v>
      </c>
    </row>
    <row r="47" spans="1:14" ht="15">
      <c r="C47" s="1">
        <v>33237</v>
      </c>
      <c r="D47" t="s">
        <v>126</v>
      </c>
      <c r="F47" t="s">
        <v>128</v>
      </c>
      <c r="G47" t="s">
        <v>129</v>
      </c>
    </row>
    <row r="48" spans="1:14" ht="15">
      <c r="C48" s="1">
        <v>33602</v>
      </c>
      <c r="D48" t="s">
        <v>127</v>
      </c>
      <c r="G48" t="s">
        <v>130</v>
      </c>
    </row>
    <row r="49" spans="1:14" ht="15">
      <c r="C49" s="1">
        <v>33968</v>
      </c>
      <c r="D49" t="s">
        <v>104</v>
      </c>
      <c r="G49" t="s">
        <v>103</v>
      </c>
    </row>
    <row r="55" spans="1:14" ht="17">
      <c r="C55" t="s">
        <v>139</v>
      </c>
      <c r="D55">
        <f>100*0.5*(G34+H34)</f>
        <v>87.454649427443101</v>
      </c>
    </row>
    <row r="56" spans="1:14" ht="15">
      <c r="A56" t="s">
        <v>140</v>
      </c>
      <c r="C56" t="s">
        <v>141</v>
      </c>
      <c r="D56">
        <f>N56</f>
        <v>128.82556078879884</v>
      </c>
      <c r="N56">
        <f>SUM(N10:N34)</f>
        <v>128.82556078879884</v>
      </c>
    </row>
    <row r="57" spans="1:14">
      <c r="A57">
        <v>15</v>
      </c>
      <c r="B57" t="s">
        <v>77</v>
      </c>
    </row>
    <row r="58" spans="1:14" ht="15">
      <c r="A58" t="s">
        <v>78</v>
      </c>
      <c r="C58" t="s">
        <v>80</v>
      </c>
      <c r="D58">
        <v>100</v>
      </c>
      <c r="E58" t="s">
        <v>122</v>
      </c>
    </row>
    <row r="61" spans="1:14">
      <c r="A61" t="s">
        <v>79</v>
      </c>
    </row>
    <row r="63" spans="1:14">
      <c r="B63" t="s">
        <v>81</v>
      </c>
      <c r="D63" s="2">
        <f>D55+D56-D58</f>
        <v>116.28021021624193</v>
      </c>
      <c r="E63" t="s">
        <v>105</v>
      </c>
    </row>
    <row r="64" spans="1:14">
      <c r="E64" t="s">
        <v>106</v>
      </c>
    </row>
    <row r="71" spans="1:5">
      <c r="A71" t="s">
        <v>107</v>
      </c>
    </row>
    <row r="72" spans="1:5" ht="15">
      <c r="C72" t="s">
        <v>108</v>
      </c>
      <c r="E72" t="s">
        <v>109</v>
      </c>
    </row>
    <row r="83" spans="1:6">
      <c r="A83" t="s">
        <v>110</v>
      </c>
    </row>
    <row r="85" spans="1:6">
      <c r="A85" t="s">
        <v>111</v>
      </c>
      <c r="B85" s="5" t="s">
        <v>112</v>
      </c>
      <c r="C85" t="s">
        <v>113</v>
      </c>
      <c r="D85" t="s">
        <v>114</v>
      </c>
      <c r="E85" t="s">
        <v>115</v>
      </c>
      <c r="F85" t="s">
        <v>116</v>
      </c>
    </row>
    <row r="86" spans="1:6">
      <c r="A86">
        <v>3.08679025520768E-2</v>
      </c>
      <c r="B86">
        <v>0.5</v>
      </c>
      <c r="C86">
        <f>$A$86+($A$87+$A$88)*((1-EXP(-B86/$A$89))/(B86/$A$89))-$A$88*EXP(-B86/$A$89)</f>
        <v>3.3975495896096476E-2</v>
      </c>
      <c r="D86">
        <f>EXP(-B86*C86)</f>
        <v>0.9831557302362014</v>
      </c>
      <c r="E86">
        <f>0.5*(G10+H10)</f>
        <v>0.98396149999999993</v>
      </c>
      <c r="F86">
        <f>(D86-E86)^2*10000000</f>
        <v>6.4926491225194871</v>
      </c>
    </row>
    <row r="87" spans="1:6">
      <c r="A87">
        <v>0</v>
      </c>
      <c r="B87">
        <v>1</v>
      </c>
      <c r="C87">
        <f t="shared" ref="C87:C91" si="2">$A$86+($A$87+$A$88)*((1-EXP(-B87/$A$89))/(B87/$A$89))-$A$88*EXP(-B87/$A$89)</f>
        <v>3.6675469693624445E-2</v>
      </c>
      <c r="D87">
        <f t="shared" ref="D87:D91" si="3">EXP(-B87*C87)</f>
        <v>0.96398892821314186</v>
      </c>
      <c r="E87">
        <f>0.5*(G11+H11)</f>
        <v>0.96416517068031293</v>
      </c>
      <c r="F87">
        <f t="shared" ref="F87:F91" si="4">(D87-E87)^2*10000000</f>
        <v>0.31061407234546651</v>
      </c>
    </row>
    <row r="88" spans="1:6">
      <c r="A88">
        <v>6.4556873375278642E-2</v>
      </c>
      <c r="B88">
        <v>1.5</v>
      </c>
      <c r="C88">
        <f t="shared" si="2"/>
        <v>3.9012860385246165E-2</v>
      </c>
      <c r="D88">
        <f t="shared" si="3"/>
        <v>0.94316004612186521</v>
      </c>
      <c r="E88">
        <f>0.5*(G15+H15)</f>
        <v>0.94256694419323306</v>
      </c>
      <c r="F88">
        <f t="shared" si="4"/>
        <v>3.5176989774718299</v>
      </c>
    </row>
    <row r="89" spans="1:6">
      <c r="A89">
        <v>4.8499635251634254</v>
      </c>
      <c r="B89">
        <v>2</v>
      </c>
      <c r="C89">
        <f t="shared" si="2"/>
        <v>4.1027990520543303E-2</v>
      </c>
      <c r="D89">
        <f t="shared" si="3"/>
        <v>0.92122038637652648</v>
      </c>
      <c r="E89">
        <f>0.5*(G20+H20)</f>
        <v>0.91934909246897156</v>
      </c>
      <c r="F89">
        <f t="shared" si="4"/>
        <v>35.017408884521473</v>
      </c>
    </row>
    <row r="90" spans="1:6">
      <c r="B90">
        <v>2.5</v>
      </c>
      <c r="C90">
        <f t="shared" si="2"/>
        <v>4.2756950354001275E-2</v>
      </c>
      <c r="D90">
        <f t="shared" si="3"/>
        <v>0.89862238122463878</v>
      </c>
      <c r="E90">
        <f>0.5*(G26+H26)</f>
        <v>0.90166404656489552</v>
      </c>
      <c r="F90">
        <f t="shared" si="4"/>
        <v>92.517280421191401</v>
      </c>
    </row>
    <row r="91" spans="1:6">
      <c r="B91">
        <v>3</v>
      </c>
      <c r="C91">
        <f t="shared" si="2"/>
        <v>4.4232030871984428E-2</v>
      </c>
      <c r="D91">
        <f t="shared" si="3"/>
        <v>0.87573119284767975</v>
      </c>
      <c r="E91">
        <f>0.5*(G34+H34)</f>
        <v>0.87454649427443099</v>
      </c>
      <c r="F91">
        <f t="shared" si="4"/>
        <v>14.035107094576613</v>
      </c>
    </row>
    <row r="94" spans="1:6">
      <c r="D94" t="s">
        <v>117</v>
      </c>
      <c r="F94">
        <f>SUM(F86:F91)</f>
        <v>151.89075857262625</v>
      </c>
    </row>
    <row r="97" spans="1:3">
      <c r="A97" s="6" t="s">
        <v>89</v>
      </c>
    </row>
    <row r="98" spans="1:3">
      <c r="B98" s="6" t="s">
        <v>92</v>
      </c>
    </row>
    <row r="100" spans="1:3">
      <c r="A100" s="6" t="s">
        <v>90</v>
      </c>
    </row>
    <row r="102" spans="1:3" ht="17">
      <c r="A102" t="s">
        <v>139</v>
      </c>
      <c r="B102">
        <f>100*D91</f>
        <v>87.573119284767969</v>
      </c>
    </row>
    <row r="103" spans="1:3" ht="15">
      <c r="A103" t="s">
        <v>141</v>
      </c>
      <c r="B103">
        <f>A57*D87+A57*D89+(100+A57)*D91</f>
        <v>128.9872268963282</v>
      </c>
    </row>
    <row r="104" spans="1:3" ht="15">
      <c r="A104" t="s">
        <v>80</v>
      </c>
      <c r="B104">
        <v>100</v>
      </c>
    </row>
    <row r="106" spans="1:3">
      <c r="B106" s="2">
        <f>B102+B103-B104</f>
        <v>116.56034618109618</v>
      </c>
      <c r="C106" s="6" t="s">
        <v>91</v>
      </c>
    </row>
    <row r="109" spans="1:3">
      <c r="A109" s="6" t="s">
        <v>93</v>
      </c>
    </row>
    <row r="111" spans="1:3" ht="15">
      <c r="A111" s="6" t="s">
        <v>94</v>
      </c>
      <c r="B111" s="6" t="s">
        <v>96</v>
      </c>
    </row>
    <row r="113" spans="1:9">
      <c r="A113" s="6" t="s">
        <v>98</v>
      </c>
      <c r="I113">
        <f>15-10</f>
        <v>5</v>
      </c>
    </row>
    <row r="114" spans="1:9">
      <c r="F114" s="6" t="s">
        <v>97</v>
      </c>
      <c r="I114">
        <f>25-20</f>
        <v>5</v>
      </c>
    </row>
    <row r="117" spans="1:9">
      <c r="A117" s="6" t="s">
        <v>99</v>
      </c>
      <c r="I117">
        <f>15-6</f>
        <v>9</v>
      </c>
    </row>
    <row r="118" spans="1:9" hidden="1">
      <c r="F118" s="6" t="s">
        <v>97</v>
      </c>
      <c r="I118">
        <f>25-20</f>
        <v>5</v>
      </c>
    </row>
    <row r="119" spans="1:9">
      <c r="I119">
        <f>25-12</f>
        <v>13</v>
      </c>
    </row>
    <row r="122" spans="1:9">
      <c r="A122" s="6" t="s">
        <v>100</v>
      </c>
      <c r="I122">
        <f>15-14</f>
        <v>1</v>
      </c>
    </row>
    <row r="123" spans="1:9">
      <c r="D123" s="7" t="s">
        <v>101</v>
      </c>
      <c r="I123">
        <f>MAX(0,25-28)</f>
        <v>0</v>
      </c>
    </row>
    <row r="125" spans="1:9">
      <c r="A125" s="6" t="s">
        <v>102</v>
      </c>
    </row>
    <row r="127" spans="1:9" ht="17">
      <c r="A127" s="6" t="s">
        <v>41</v>
      </c>
      <c r="B127" t="s">
        <v>139</v>
      </c>
      <c r="C127">
        <f>200*0.5*(G34+H34)</f>
        <v>174.9092988548862</v>
      </c>
    </row>
    <row r="128" spans="1:9" ht="15">
      <c r="A128">
        <v>0.25</v>
      </c>
      <c r="B128" t="s">
        <v>141</v>
      </c>
      <c r="C128">
        <f>100*A128*0.5*(G11+H11)+100*A128*0.5*(G20+H20)+100*(1+A128)*0.5*(G34+H34)</f>
        <v>156.40616836303599</v>
      </c>
    </row>
    <row r="129" spans="1:4" ht="15">
      <c r="A129" s="6" t="s">
        <v>41</v>
      </c>
      <c r="B129" t="s">
        <v>80</v>
      </c>
      <c r="C129">
        <v>200</v>
      </c>
    </row>
    <row r="131" spans="1:4">
      <c r="C131">
        <f>C127+C128-C129</f>
        <v>131.31546721792222</v>
      </c>
      <c r="D131" s="6" t="s">
        <v>42</v>
      </c>
    </row>
  </sheetData>
  <phoneticPr fontId="3" type="noConversion"/>
  <pageMargins left="0.75" right="0.75" top="1" bottom="1" header="0.5" footer="0.5"/>
  <legacyDrawing r:id="rId1"/>
  <oleObjects>
    <oleObject progId="Equation.3" shapeId="1025" r:id="rId2"/>
  </oleObjects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C50"/>
  <sheetViews>
    <sheetView topLeftCell="A14" workbookViewId="0">
      <selection activeCell="O43" sqref="O43"/>
    </sheetView>
  </sheetViews>
  <sheetFormatPr baseColWidth="10" defaultColWidth="8.7109375" defaultRowHeight="13"/>
  <cols>
    <col min="1" max="1" width="10.42578125" customWidth="1"/>
    <col min="3" max="3" width="15.42578125" customWidth="1"/>
  </cols>
  <sheetData>
    <row r="1" spans="1:3">
      <c r="A1" s="6" t="s">
        <v>85</v>
      </c>
    </row>
    <row r="4" spans="1:3">
      <c r="A4" t="s">
        <v>111</v>
      </c>
      <c r="B4" s="5" t="s">
        <v>112</v>
      </c>
      <c r="C4" t="s">
        <v>113</v>
      </c>
    </row>
    <row r="5" spans="1:3">
      <c r="A5">
        <v>3.08679025520768E-2</v>
      </c>
      <c r="B5">
        <v>0.5</v>
      </c>
      <c r="C5">
        <f>$A$5+($A$6+$A$7)*((1-EXP(-B5/$A$8))/(B5/$A$8))-$A$7*EXP(-B5/$A$8)</f>
        <v>3.3975495896096476E-2</v>
      </c>
    </row>
    <row r="6" spans="1:3">
      <c r="A6">
        <v>0</v>
      </c>
      <c r="B6">
        <v>1</v>
      </c>
      <c r="C6">
        <f t="shared" ref="C6:C24" si="0">$A$5+($A$6+$A$7)*((1-EXP(-B6/$A$8))/(B6/$A$8))-$A$7*EXP(-B6/$A$8)</f>
        <v>3.6675469693624445E-2</v>
      </c>
    </row>
    <row r="7" spans="1:3">
      <c r="A7">
        <v>6.4556873375278642E-2</v>
      </c>
      <c r="B7">
        <v>1.5</v>
      </c>
      <c r="C7">
        <f t="shared" si="0"/>
        <v>3.9012860385246165E-2</v>
      </c>
    </row>
    <row r="8" spans="1:3">
      <c r="A8">
        <v>4.8499635251634254</v>
      </c>
      <c r="B8">
        <v>2</v>
      </c>
      <c r="C8">
        <f t="shared" si="0"/>
        <v>4.1027990520543303E-2</v>
      </c>
    </row>
    <row r="9" spans="1:3">
      <c r="B9">
        <v>2.5</v>
      </c>
      <c r="C9">
        <f t="shared" si="0"/>
        <v>4.2756950354001275E-2</v>
      </c>
    </row>
    <row r="10" spans="1:3">
      <c r="B10">
        <v>3</v>
      </c>
      <c r="C10">
        <f t="shared" si="0"/>
        <v>4.4232030871984428E-2</v>
      </c>
    </row>
    <row r="11" spans="1:3">
      <c r="B11">
        <v>3.5</v>
      </c>
      <c r="C11">
        <f t="shared" si="0"/>
        <v>4.5482113111107364E-2</v>
      </c>
    </row>
    <row r="12" spans="1:3">
      <c r="B12">
        <v>4</v>
      </c>
      <c r="C12">
        <f t="shared" si="0"/>
        <v>4.6533018144387851E-2</v>
      </c>
    </row>
    <row r="13" spans="1:3">
      <c r="B13">
        <v>4.5</v>
      </c>
      <c r="C13">
        <f t="shared" si="0"/>
        <v>4.7407821675643988E-2</v>
      </c>
    </row>
    <row r="14" spans="1:3">
      <c r="B14">
        <v>5</v>
      </c>
      <c r="C14">
        <f t="shared" si="0"/>
        <v>4.8127136789943917E-2</v>
      </c>
    </row>
    <row r="15" spans="1:3">
      <c r="B15">
        <v>5.5</v>
      </c>
      <c r="C15">
        <f t="shared" si="0"/>
        <v>4.8709368054245958E-2</v>
      </c>
    </row>
    <row r="16" spans="1:3">
      <c r="B16">
        <v>6</v>
      </c>
      <c r="C16">
        <f t="shared" si="0"/>
        <v>4.9170939843820621E-2</v>
      </c>
    </row>
    <row r="17" spans="1:3">
      <c r="B17">
        <v>6.5</v>
      </c>
      <c r="C17">
        <f t="shared" si="0"/>
        <v>4.9526501483142998E-2</v>
      </c>
    </row>
    <row r="18" spans="1:3">
      <c r="B18">
        <v>7</v>
      </c>
      <c r="C18">
        <f t="shared" si="0"/>
        <v>4.9789111531552972E-2</v>
      </c>
    </row>
    <row r="19" spans="1:3">
      <c r="B19">
        <v>7.5</v>
      </c>
      <c r="C19">
        <f t="shared" si="0"/>
        <v>4.9970403311272414E-2</v>
      </c>
    </row>
    <row r="20" spans="1:3">
      <c r="B20">
        <v>8</v>
      </c>
      <c r="C20">
        <f t="shared" si="0"/>
        <v>5.0080733565800166E-2</v>
      </c>
    </row>
    <row r="21" spans="1:3">
      <c r="B21">
        <v>8.5</v>
      </c>
      <c r="C21">
        <f t="shared" si="0"/>
        <v>5.0129315947982617E-2</v>
      </c>
    </row>
    <row r="22" spans="1:3">
      <c r="B22">
        <v>9</v>
      </c>
      <c r="C22">
        <f t="shared" si="0"/>
        <v>5.0124340867112128E-2</v>
      </c>
    </row>
    <row r="23" spans="1:3">
      <c r="B23">
        <v>9.5</v>
      </c>
      <c r="C23">
        <f t="shared" si="0"/>
        <v>5.007308307137643E-2</v>
      </c>
    </row>
    <row r="24" spans="1:3">
      <c r="B24">
        <v>10</v>
      </c>
      <c r="C24">
        <f t="shared" si="0"/>
        <v>4.9981998204189554E-2</v>
      </c>
    </row>
    <row r="30" spans="1:3">
      <c r="A30" t="s">
        <v>111</v>
      </c>
      <c r="B30" s="5" t="s">
        <v>112</v>
      </c>
      <c r="C30" t="s">
        <v>113</v>
      </c>
    </row>
    <row r="31" spans="1:3">
      <c r="A31">
        <v>0.04</v>
      </c>
      <c r="B31">
        <v>0.5</v>
      </c>
      <c r="C31">
        <f>$A$31+($A$32+$A$33)*((1-EXP(-B31/$A$34))/(B31/$A$34))-$A$33*EXP(-B31/$A$34)</f>
        <v>4.310759334401968E-2</v>
      </c>
    </row>
    <row r="32" spans="1:3">
      <c r="A32">
        <v>0</v>
      </c>
      <c r="B32">
        <v>1</v>
      </c>
      <c r="C32">
        <f t="shared" ref="C32:C50" si="1">$A$31+($A$32+$A$33)*((1-EXP(-B32/$A$34))/(B32/$A$34))-$A$33*EXP(-B32/$A$34)</f>
        <v>4.5807567141547649E-2</v>
      </c>
    </row>
    <row r="33" spans="1:3">
      <c r="A33">
        <v>6.4556873375278642E-2</v>
      </c>
      <c r="B33">
        <v>1.5</v>
      </c>
      <c r="C33">
        <f t="shared" si="1"/>
        <v>4.8144957833169355E-2</v>
      </c>
    </row>
    <row r="34" spans="1:3">
      <c r="A34">
        <v>4.8499635251634254</v>
      </c>
      <c r="B34">
        <v>2</v>
      </c>
      <c r="C34">
        <f t="shared" si="1"/>
        <v>5.0160087968466507E-2</v>
      </c>
    </row>
    <row r="35" spans="1:3">
      <c r="B35">
        <v>2.5</v>
      </c>
      <c r="C35">
        <f t="shared" si="1"/>
        <v>5.1889047801924465E-2</v>
      </c>
    </row>
    <row r="36" spans="1:3">
      <c r="B36">
        <v>3</v>
      </c>
      <c r="C36">
        <f t="shared" si="1"/>
        <v>5.3364128319907632E-2</v>
      </c>
    </row>
    <row r="37" spans="1:3">
      <c r="B37">
        <v>3.5</v>
      </c>
      <c r="C37">
        <f t="shared" si="1"/>
        <v>5.4614210559030554E-2</v>
      </c>
    </row>
    <row r="38" spans="1:3">
      <c r="B38">
        <v>4</v>
      </c>
      <c r="C38">
        <f t="shared" si="1"/>
        <v>5.5665115592311055E-2</v>
      </c>
    </row>
    <row r="39" spans="1:3">
      <c r="B39">
        <v>4.5</v>
      </c>
      <c r="C39">
        <f t="shared" si="1"/>
        <v>5.6539919123567192E-2</v>
      </c>
    </row>
    <row r="40" spans="1:3">
      <c r="B40">
        <v>5</v>
      </c>
      <c r="C40">
        <f t="shared" si="1"/>
        <v>5.7259234237867121E-2</v>
      </c>
    </row>
    <row r="41" spans="1:3">
      <c r="B41">
        <v>5.5</v>
      </c>
      <c r="C41">
        <f t="shared" si="1"/>
        <v>5.7841465502169162E-2</v>
      </c>
    </row>
    <row r="42" spans="1:3">
      <c r="B42">
        <v>6</v>
      </c>
      <c r="C42">
        <f t="shared" si="1"/>
        <v>5.8303037291743826E-2</v>
      </c>
    </row>
    <row r="43" spans="1:3">
      <c r="B43">
        <v>6.5</v>
      </c>
      <c r="C43">
        <f t="shared" si="1"/>
        <v>5.8658598931066189E-2</v>
      </c>
    </row>
    <row r="44" spans="1:3">
      <c r="B44">
        <v>7</v>
      </c>
      <c r="C44">
        <f t="shared" si="1"/>
        <v>5.8921208979476176E-2</v>
      </c>
    </row>
    <row r="45" spans="1:3">
      <c r="B45">
        <v>7.5</v>
      </c>
      <c r="C45">
        <f t="shared" si="1"/>
        <v>5.9102500759195604E-2</v>
      </c>
    </row>
    <row r="46" spans="1:3">
      <c r="B46">
        <v>8</v>
      </c>
      <c r="C46">
        <f t="shared" si="1"/>
        <v>5.921283101372337E-2</v>
      </c>
    </row>
    <row r="47" spans="1:3">
      <c r="B47">
        <v>8.5</v>
      </c>
      <c r="C47">
        <f t="shared" si="1"/>
        <v>5.9261413395905821E-2</v>
      </c>
    </row>
    <row r="48" spans="1:3">
      <c r="B48">
        <v>9</v>
      </c>
      <c r="C48">
        <f t="shared" si="1"/>
        <v>5.9256438315035333E-2</v>
      </c>
    </row>
    <row r="49" spans="2:3">
      <c r="B49">
        <v>9.5</v>
      </c>
      <c r="C49">
        <f t="shared" si="1"/>
        <v>5.920518051929962E-2</v>
      </c>
    </row>
    <row r="50" spans="2:3">
      <c r="B50">
        <v>10</v>
      </c>
      <c r="C50">
        <f t="shared" si="1"/>
        <v>5.9114095652112744E-2</v>
      </c>
    </row>
  </sheetData>
  <pageMargins left="0.7" right="0.7" top="0.75" bottom="0.75" header="0.3" footer="0.3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C50"/>
  <sheetViews>
    <sheetView topLeftCell="A14" workbookViewId="0">
      <selection sqref="A1:C50"/>
    </sheetView>
  </sheetViews>
  <sheetFormatPr baseColWidth="10" defaultColWidth="8.7109375" defaultRowHeight="13"/>
  <cols>
    <col min="1" max="1" width="11.5703125" customWidth="1"/>
  </cols>
  <sheetData>
    <row r="1" spans="1:3">
      <c r="A1" s="6" t="s">
        <v>86</v>
      </c>
    </row>
    <row r="4" spans="1:3">
      <c r="A4" t="s">
        <v>111</v>
      </c>
      <c r="B4" s="5" t="s">
        <v>112</v>
      </c>
      <c r="C4" t="s">
        <v>113</v>
      </c>
    </row>
    <row r="5" spans="1:3">
      <c r="A5">
        <v>3.08679025520768E-2</v>
      </c>
      <c r="B5">
        <v>0.5</v>
      </c>
      <c r="C5">
        <f>$A$5+($A$6+$A$7)*((1-EXP(-B5/$A$8))/(B5/$A$8))-$A$7*EXP(-B5/$A$8)</f>
        <v>3.3975495896096476E-2</v>
      </c>
    </row>
    <row r="6" spans="1:3">
      <c r="A6">
        <v>0</v>
      </c>
      <c r="B6">
        <v>1</v>
      </c>
      <c r="C6">
        <f t="shared" ref="C6:C24" si="0">$A$5+($A$6+$A$7)*((1-EXP(-B6/$A$8))/(B6/$A$8))-$A$7*EXP(-B6/$A$8)</f>
        <v>3.6675469693624445E-2</v>
      </c>
    </row>
    <row r="7" spans="1:3">
      <c r="A7">
        <v>6.4556873375278642E-2</v>
      </c>
      <c r="B7">
        <v>1.5</v>
      </c>
      <c r="C7">
        <f t="shared" si="0"/>
        <v>3.9012860385246165E-2</v>
      </c>
    </row>
    <row r="8" spans="1:3">
      <c r="A8">
        <v>4.8499635251634254</v>
      </c>
      <c r="B8">
        <v>2</v>
      </c>
      <c r="C8">
        <f t="shared" si="0"/>
        <v>4.1027990520543303E-2</v>
      </c>
    </row>
    <row r="9" spans="1:3">
      <c r="B9">
        <v>2.5</v>
      </c>
      <c r="C9">
        <f t="shared" si="0"/>
        <v>4.2756950354001275E-2</v>
      </c>
    </row>
    <row r="10" spans="1:3">
      <c r="B10">
        <v>3</v>
      </c>
      <c r="C10">
        <f t="shared" si="0"/>
        <v>4.4232030871984428E-2</v>
      </c>
    </row>
    <row r="11" spans="1:3">
      <c r="B11">
        <v>3.5</v>
      </c>
      <c r="C11">
        <f t="shared" si="0"/>
        <v>4.5482113111107364E-2</v>
      </c>
    </row>
    <row r="12" spans="1:3">
      <c r="B12">
        <v>4</v>
      </c>
      <c r="C12">
        <f t="shared" si="0"/>
        <v>4.6533018144387851E-2</v>
      </c>
    </row>
    <row r="13" spans="1:3">
      <c r="B13">
        <v>4.5</v>
      </c>
      <c r="C13">
        <f t="shared" si="0"/>
        <v>4.7407821675643988E-2</v>
      </c>
    </row>
    <row r="14" spans="1:3">
      <c r="B14">
        <v>5</v>
      </c>
      <c r="C14">
        <f t="shared" si="0"/>
        <v>4.8127136789943917E-2</v>
      </c>
    </row>
    <row r="15" spans="1:3">
      <c r="B15">
        <v>5.5</v>
      </c>
      <c r="C15">
        <f t="shared" si="0"/>
        <v>4.8709368054245958E-2</v>
      </c>
    </row>
    <row r="16" spans="1:3">
      <c r="B16">
        <v>6</v>
      </c>
      <c r="C16">
        <f t="shared" si="0"/>
        <v>4.9170939843820621E-2</v>
      </c>
    </row>
    <row r="17" spans="1:3">
      <c r="B17">
        <v>6.5</v>
      </c>
      <c r="C17">
        <f t="shared" si="0"/>
        <v>4.9526501483142998E-2</v>
      </c>
    </row>
    <row r="18" spans="1:3">
      <c r="B18">
        <v>7</v>
      </c>
      <c r="C18">
        <f t="shared" si="0"/>
        <v>4.9789111531552972E-2</v>
      </c>
    </row>
    <row r="19" spans="1:3">
      <c r="B19">
        <v>7.5</v>
      </c>
      <c r="C19">
        <f t="shared" si="0"/>
        <v>4.9970403311272414E-2</v>
      </c>
    </row>
    <row r="20" spans="1:3">
      <c r="B20">
        <v>8</v>
      </c>
      <c r="C20">
        <f t="shared" si="0"/>
        <v>5.0080733565800166E-2</v>
      </c>
    </row>
    <row r="21" spans="1:3">
      <c r="B21">
        <v>8.5</v>
      </c>
      <c r="C21">
        <f t="shared" si="0"/>
        <v>5.0129315947982617E-2</v>
      </c>
    </row>
    <row r="22" spans="1:3">
      <c r="B22">
        <v>9</v>
      </c>
      <c r="C22">
        <f t="shared" si="0"/>
        <v>5.0124340867112128E-2</v>
      </c>
    </row>
    <row r="23" spans="1:3">
      <c r="B23">
        <v>9.5</v>
      </c>
      <c r="C23">
        <f t="shared" si="0"/>
        <v>5.007308307137643E-2</v>
      </c>
    </row>
    <row r="24" spans="1:3">
      <c r="B24">
        <v>10</v>
      </c>
      <c r="C24">
        <f t="shared" si="0"/>
        <v>4.9981998204189554E-2</v>
      </c>
    </row>
    <row r="30" spans="1:3">
      <c r="A30" t="s">
        <v>111</v>
      </c>
      <c r="B30" s="5" t="s">
        <v>112</v>
      </c>
      <c r="C30" t="s">
        <v>113</v>
      </c>
    </row>
    <row r="31" spans="1:3">
      <c r="A31">
        <v>3.08679025520768E-2</v>
      </c>
      <c r="B31">
        <v>0.5</v>
      </c>
      <c r="C31">
        <f>$A$31+($A$32+$A$33)*((1-EXP(-B31/$A$34))/(B31/$A$34))-$A$33*EXP(-B31/$A$34)</f>
        <v>1.4971898459701531E-2</v>
      </c>
    </row>
    <row r="32" spans="1:3">
      <c r="A32">
        <v>-0.02</v>
      </c>
      <c r="B32">
        <v>1</v>
      </c>
      <c r="C32">
        <f t="shared" ref="C32:C50" si="1">$A$31+($A$32+$A$33)*((1-EXP(-B32/$A$34))/(B32/$A$34))-$A$33*EXP(-B32/$A$34)</f>
        <v>1.8602643987910679E-2</v>
      </c>
    </row>
    <row r="33" spans="1:3">
      <c r="A33">
        <v>6.4556873375278642E-2</v>
      </c>
      <c r="B33">
        <v>1.5</v>
      </c>
      <c r="C33">
        <f t="shared" si="1"/>
        <v>2.181002240918184E-2</v>
      </c>
    </row>
    <row r="34" spans="1:3">
      <c r="A34">
        <v>4.8499635251634254</v>
      </c>
      <c r="B34">
        <v>2</v>
      </c>
      <c r="C34">
        <f t="shared" si="1"/>
        <v>2.463882195624123E-2</v>
      </c>
    </row>
    <row r="35" spans="1:3">
      <c r="B35">
        <v>2.5</v>
      </c>
      <c r="C35">
        <f t="shared" si="1"/>
        <v>2.7129248609263162E-2</v>
      </c>
    </row>
    <row r="36" spans="1:3">
      <c r="B36">
        <v>3</v>
      </c>
      <c r="C36">
        <f t="shared" si="1"/>
        <v>2.9317387690287779E-2</v>
      </c>
    </row>
    <row r="37" spans="1:3">
      <c r="B37">
        <v>3.5</v>
      </c>
      <c r="C37">
        <f t="shared" si="1"/>
        <v>3.1235619350412289E-2</v>
      </c>
    </row>
    <row r="38" spans="1:3">
      <c r="B38">
        <v>4</v>
      </c>
      <c r="C38">
        <f t="shared" si="1"/>
        <v>3.2912992531733611E-2</v>
      </c>
    </row>
    <row r="39" spans="1:3">
      <c r="B39">
        <v>4.5</v>
      </c>
      <c r="C39">
        <f t="shared" si="1"/>
        <v>3.4375561532196147E-2</v>
      </c>
    </row>
    <row r="40" spans="1:3">
      <c r="B40">
        <v>5</v>
      </c>
      <c r="C40">
        <f t="shared" si="1"/>
        <v>3.5646688892520317E-2</v>
      </c>
    </row>
    <row r="41" spans="1:3">
      <c r="B41">
        <v>5.5</v>
      </c>
      <c r="C41">
        <f t="shared" si="1"/>
        <v>3.6747317955831971E-2</v>
      </c>
    </row>
    <row r="42" spans="1:3">
      <c r="B42">
        <v>6</v>
      </c>
      <c r="C42">
        <f t="shared" si="1"/>
        <v>3.7696218118489486E-2</v>
      </c>
    </row>
    <row r="43" spans="1:3">
      <c r="B43">
        <v>6.5</v>
      </c>
      <c r="C43">
        <f t="shared" si="1"/>
        <v>3.8510205491321045E-2</v>
      </c>
    </row>
    <row r="44" spans="1:3">
      <c r="B44">
        <v>7</v>
      </c>
      <c r="C44">
        <f t="shared" si="1"/>
        <v>3.9204341420797074E-2</v>
      </c>
    </row>
    <row r="45" spans="1:3">
      <c r="B45">
        <v>7.5</v>
      </c>
      <c r="C45">
        <f t="shared" si="1"/>
        <v>3.9792111076650809E-2</v>
      </c>
    </row>
    <row r="46" spans="1:3">
      <c r="B46">
        <v>8</v>
      </c>
      <c r="C46">
        <f t="shared" si="1"/>
        <v>4.0285584093489819E-2</v>
      </c>
    </row>
    <row r="47" spans="1:3">
      <c r="B47">
        <v>8.5</v>
      </c>
      <c r="C47">
        <f t="shared" si="1"/>
        <v>4.0695559056639713E-2</v>
      </c>
    </row>
    <row r="48" spans="1:3">
      <c r="B48">
        <v>9</v>
      </c>
      <c r="C48">
        <f t="shared" si="1"/>
        <v>4.1031693444687239E-2</v>
      </c>
    </row>
    <row r="49" spans="2:3">
      <c r="B49">
        <v>9.5</v>
      </c>
      <c r="C49">
        <f t="shared" si="1"/>
        <v>4.1302620481016065E-2</v>
      </c>
    </row>
    <row r="50" spans="2:3">
      <c r="B50">
        <v>10</v>
      </c>
      <c r="C50">
        <f t="shared" si="1"/>
        <v>4.1516054202314745E-2</v>
      </c>
    </row>
  </sheetData>
  <pageMargins left="0.7" right="0.7" top="0.75" bottom="0.75" header="0.3" footer="0.3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C50"/>
  <sheetViews>
    <sheetView topLeftCell="A14" workbookViewId="0">
      <selection activeCell="H41" sqref="H41"/>
    </sheetView>
  </sheetViews>
  <sheetFormatPr baseColWidth="10" defaultColWidth="8.7109375" defaultRowHeight="13"/>
  <sheetData>
    <row r="1" spans="1:3">
      <c r="A1" s="6" t="s">
        <v>87</v>
      </c>
    </row>
    <row r="4" spans="1:3">
      <c r="A4" t="s">
        <v>111</v>
      </c>
      <c r="B4" s="5" t="s">
        <v>112</v>
      </c>
      <c r="C4" t="s">
        <v>113</v>
      </c>
    </row>
    <row r="5" spans="1:3">
      <c r="A5">
        <v>3.08679025520768E-2</v>
      </c>
      <c r="B5">
        <v>0.5</v>
      </c>
      <c r="C5">
        <f>$A$5+($A$6+$A$7)*((1-EXP(-B5/$A$8))/(B5/$A$8))-$A$7*EXP(-B5/$A$8)</f>
        <v>3.3975495896096476E-2</v>
      </c>
    </row>
    <row r="6" spans="1:3">
      <c r="A6">
        <v>0</v>
      </c>
      <c r="B6">
        <v>1</v>
      </c>
      <c r="C6">
        <f t="shared" ref="C6:C24" si="0">$A$5+($A$6+$A$7)*((1-EXP(-B6/$A$8))/(B6/$A$8))-$A$7*EXP(-B6/$A$8)</f>
        <v>3.6675469693624445E-2</v>
      </c>
    </row>
    <row r="7" spans="1:3">
      <c r="A7">
        <v>6.4556873375278642E-2</v>
      </c>
      <c r="B7">
        <v>1.5</v>
      </c>
      <c r="C7">
        <f t="shared" si="0"/>
        <v>3.9012860385246165E-2</v>
      </c>
    </row>
    <row r="8" spans="1:3">
      <c r="A8">
        <v>4.8499635251634254</v>
      </c>
      <c r="B8">
        <v>2</v>
      </c>
      <c r="C8">
        <f t="shared" si="0"/>
        <v>4.1027990520543303E-2</v>
      </c>
    </row>
    <row r="9" spans="1:3">
      <c r="B9">
        <v>2.5</v>
      </c>
      <c r="C9">
        <f t="shared" si="0"/>
        <v>4.2756950354001275E-2</v>
      </c>
    </row>
    <row r="10" spans="1:3">
      <c r="B10">
        <v>3</v>
      </c>
      <c r="C10">
        <f t="shared" si="0"/>
        <v>4.4232030871984428E-2</v>
      </c>
    </row>
    <row r="11" spans="1:3">
      <c r="B11">
        <v>3.5</v>
      </c>
      <c r="C11">
        <f t="shared" si="0"/>
        <v>4.5482113111107364E-2</v>
      </c>
    </row>
    <row r="12" spans="1:3">
      <c r="B12">
        <v>4</v>
      </c>
      <c r="C12">
        <f t="shared" si="0"/>
        <v>4.6533018144387851E-2</v>
      </c>
    </row>
    <row r="13" spans="1:3">
      <c r="B13">
        <v>4.5</v>
      </c>
      <c r="C13">
        <f t="shared" si="0"/>
        <v>4.7407821675643988E-2</v>
      </c>
    </row>
    <row r="14" spans="1:3">
      <c r="B14">
        <v>5</v>
      </c>
      <c r="C14">
        <f t="shared" si="0"/>
        <v>4.8127136789943917E-2</v>
      </c>
    </row>
    <row r="15" spans="1:3">
      <c r="B15">
        <v>5.5</v>
      </c>
      <c r="C15">
        <f t="shared" si="0"/>
        <v>4.8709368054245958E-2</v>
      </c>
    </row>
    <row r="16" spans="1:3">
      <c r="B16">
        <v>6</v>
      </c>
      <c r="C16">
        <f t="shared" si="0"/>
        <v>4.9170939843820621E-2</v>
      </c>
    </row>
    <row r="17" spans="1:3">
      <c r="B17">
        <v>6.5</v>
      </c>
      <c r="C17">
        <f t="shared" si="0"/>
        <v>4.9526501483142998E-2</v>
      </c>
    </row>
    <row r="18" spans="1:3">
      <c r="B18">
        <v>7</v>
      </c>
      <c r="C18">
        <f t="shared" si="0"/>
        <v>4.9789111531552972E-2</v>
      </c>
    </row>
    <row r="19" spans="1:3">
      <c r="B19">
        <v>7.5</v>
      </c>
      <c r="C19">
        <f t="shared" si="0"/>
        <v>4.9970403311272414E-2</v>
      </c>
    </row>
    <row r="20" spans="1:3">
      <c r="B20">
        <v>8</v>
      </c>
      <c r="C20">
        <f t="shared" si="0"/>
        <v>5.0080733565800166E-2</v>
      </c>
    </row>
    <row r="21" spans="1:3">
      <c r="B21">
        <v>8.5</v>
      </c>
      <c r="C21">
        <f t="shared" si="0"/>
        <v>5.0129315947982617E-2</v>
      </c>
    </row>
    <row r="22" spans="1:3">
      <c r="B22">
        <v>9</v>
      </c>
      <c r="C22">
        <f t="shared" si="0"/>
        <v>5.0124340867112128E-2</v>
      </c>
    </row>
    <row r="23" spans="1:3">
      <c r="B23">
        <v>9.5</v>
      </c>
      <c r="C23">
        <f t="shared" si="0"/>
        <v>5.007308307137643E-2</v>
      </c>
    </row>
    <row r="24" spans="1:3">
      <c r="B24">
        <v>10</v>
      </c>
      <c r="C24">
        <f t="shared" si="0"/>
        <v>4.9981998204189554E-2</v>
      </c>
    </row>
    <row r="30" spans="1:3">
      <c r="A30" t="s">
        <v>111</v>
      </c>
      <c r="B30" s="5" t="s">
        <v>112</v>
      </c>
      <c r="C30" t="s">
        <v>113</v>
      </c>
    </row>
    <row r="31" spans="1:3">
      <c r="A31">
        <v>3.08679025520768E-2</v>
      </c>
      <c r="B31">
        <v>0.5</v>
      </c>
      <c r="C31">
        <f>$A$31+($A$32+$A$33)*((1-EXP(-B31/$A$34))/(B31/$A$34))-$A$33*EXP(-B31/$A$34)</f>
        <v>3.2793394405410396E-2</v>
      </c>
    </row>
    <row r="32" spans="1:3">
      <c r="A32">
        <v>0</v>
      </c>
      <c r="B32">
        <v>1</v>
      </c>
      <c r="C32">
        <f t="shared" ref="C32:C50" si="1">$A$31+($A$32+$A$33)*((1-EXP(-B32/$A$34))/(B32/$A$34))-$A$33*EXP(-B32/$A$34)</f>
        <v>3.4466321643898311E-2</v>
      </c>
    </row>
    <row r="33" spans="1:3">
      <c r="A33">
        <v>0.04</v>
      </c>
      <c r="B33">
        <v>1.5</v>
      </c>
      <c r="C33">
        <f t="shared" si="1"/>
        <v>3.5914589237673558E-2</v>
      </c>
    </row>
    <row r="34" spans="1:3">
      <c r="A34">
        <v>4.8499635251634254</v>
      </c>
      <c r="B34">
        <v>2</v>
      </c>
      <c r="C34">
        <f t="shared" si="1"/>
        <v>3.7163181389020722E-2</v>
      </c>
    </row>
    <row r="35" spans="1:3">
      <c r="B35">
        <v>2.5</v>
      </c>
      <c r="C35">
        <f t="shared" si="1"/>
        <v>3.8234459933387192E-2</v>
      </c>
    </row>
    <row r="36" spans="1:3">
      <c r="B36">
        <v>3</v>
      </c>
      <c r="C36">
        <f t="shared" si="1"/>
        <v>3.9148432646661763E-2</v>
      </c>
    </row>
    <row r="37" spans="1:3">
      <c r="B37">
        <v>3.5</v>
      </c>
      <c r="C37">
        <f t="shared" si="1"/>
        <v>3.9922994470222212E-2</v>
      </c>
    </row>
    <row r="38" spans="1:3">
      <c r="B38">
        <v>4</v>
      </c>
      <c r="C38">
        <f t="shared" si="1"/>
        <v>4.0574144365398468E-2</v>
      </c>
    </row>
    <row r="39" spans="1:3">
      <c r="B39">
        <v>4.5</v>
      </c>
      <c r="C39">
        <f t="shared" si="1"/>
        <v>4.1116180238896113E-2</v>
      </c>
    </row>
    <row r="40" spans="1:3">
      <c r="B40">
        <v>5</v>
      </c>
      <c r="C40">
        <f t="shared" si="1"/>
        <v>4.1561874137433258E-2</v>
      </c>
    </row>
    <row r="41" spans="1:3">
      <c r="B41">
        <v>5.5</v>
      </c>
      <c r="C41">
        <f t="shared" si="1"/>
        <v>4.1922629690706384E-2</v>
      </c>
    </row>
    <row r="42" spans="1:3">
      <c r="B42">
        <v>6</v>
      </c>
      <c r="C42">
        <f t="shared" si="1"/>
        <v>4.2208623584426411E-2</v>
      </c>
    </row>
    <row r="43" spans="1:3">
      <c r="B43">
        <v>6.5</v>
      </c>
      <c r="C43">
        <f t="shared" si="1"/>
        <v>4.2428932667399145E-2</v>
      </c>
    </row>
    <row r="44" spans="1:3">
      <c r="B44">
        <v>7</v>
      </c>
      <c r="C44">
        <f t="shared" si="1"/>
        <v>4.2591648136522553E-2</v>
      </c>
    </row>
    <row r="45" spans="1:3">
      <c r="B45">
        <v>7.5</v>
      </c>
      <c r="C45">
        <f t="shared" si="1"/>
        <v>4.2703978099385267E-2</v>
      </c>
    </row>
    <row r="46" spans="1:3">
      <c r="B46">
        <v>8</v>
      </c>
      <c r="C46">
        <f t="shared" si="1"/>
        <v>4.2772339684300567E-2</v>
      </c>
    </row>
    <row r="47" spans="1:3">
      <c r="B47">
        <v>8.5</v>
      </c>
      <c r="C47">
        <f t="shared" si="1"/>
        <v>4.2802441750675449E-2</v>
      </c>
    </row>
    <row r="48" spans="1:3">
      <c r="B48">
        <v>9</v>
      </c>
      <c r="C48">
        <f t="shared" si="1"/>
        <v>4.2799359147314808E-2</v>
      </c>
    </row>
    <row r="49" spans="2:3">
      <c r="B49">
        <v>9.5</v>
      </c>
      <c r="C49">
        <f t="shared" si="1"/>
        <v>4.2767599371442311E-2</v>
      </c>
    </row>
    <row r="50" spans="2:3">
      <c r="B50">
        <v>10</v>
      </c>
      <c r="C50">
        <f t="shared" si="1"/>
        <v>4.2711162395842592E-2</v>
      </c>
    </row>
  </sheetData>
  <pageMargins left="0.7" right="0.7" top="0.75" bottom="0.75" header="0.3" footer="0.3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C50"/>
  <sheetViews>
    <sheetView workbookViewId="0">
      <selection activeCell="A35" sqref="A35"/>
    </sheetView>
  </sheetViews>
  <sheetFormatPr baseColWidth="10" defaultColWidth="8.7109375" defaultRowHeight="13"/>
  <sheetData>
    <row r="1" spans="1:3">
      <c r="A1" s="6" t="s">
        <v>88</v>
      </c>
    </row>
    <row r="4" spans="1:3">
      <c r="A4" t="s">
        <v>111</v>
      </c>
      <c r="B4" s="5" t="s">
        <v>112</v>
      </c>
      <c r="C4" t="s">
        <v>113</v>
      </c>
    </row>
    <row r="5" spans="1:3">
      <c r="A5">
        <v>3.08679025520768E-2</v>
      </c>
      <c r="B5">
        <v>0.5</v>
      </c>
      <c r="C5">
        <f>$A$5+($A$6+$A$7)*((1-EXP(-B5/$A$8))/(B5/$A$8))-$A$7*EXP(-B5/$A$8)</f>
        <v>3.3975495896096476E-2</v>
      </c>
    </row>
    <row r="6" spans="1:3">
      <c r="A6">
        <v>0</v>
      </c>
      <c r="B6">
        <v>1</v>
      </c>
      <c r="C6">
        <f t="shared" ref="C6:C24" si="0">$A$5+($A$6+$A$7)*((1-EXP(-B6/$A$8))/(B6/$A$8))-$A$7*EXP(-B6/$A$8)</f>
        <v>3.6675469693624445E-2</v>
      </c>
    </row>
    <row r="7" spans="1:3">
      <c r="A7">
        <v>6.4556873375278642E-2</v>
      </c>
      <c r="B7">
        <v>1.5</v>
      </c>
      <c r="C7">
        <f t="shared" si="0"/>
        <v>3.9012860385246165E-2</v>
      </c>
    </row>
    <row r="8" spans="1:3">
      <c r="A8">
        <v>4.8499635251634254</v>
      </c>
      <c r="B8">
        <v>2</v>
      </c>
      <c r="C8">
        <f t="shared" si="0"/>
        <v>4.1027990520543303E-2</v>
      </c>
    </row>
    <row r="9" spans="1:3">
      <c r="B9">
        <v>2.5</v>
      </c>
      <c r="C9">
        <f t="shared" si="0"/>
        <v>4.2756950354001275E-2</v>
      </c>
    </row>
    <row r="10" spans="1:3">
      <c r="B10">
        <v>3</v>
      </c>
      <c r="C10">
        <f t="shared" si="0"/>
        <v>4.4232030871984428E-2</v>
      </c>
    </row>
    <row r="11" spans="1:3">
      <c r="B11">
        <v>3.5</v>
      </c>
      <c r="C11">
        <f t="shared" si="0"/>
        <v>4.5482113111107364E-2</v>
      </c>
    </row>
    <row r="12" spans="1:3">
      <c r="B12">
        <v>4</v>
      </c>
      <c r="C12">
        <f t="shared" si="0"/>
        <v>4.6533018144387851E-2</v>
      </c>
    </row>
    <row r="13" spans="1:3">
      <c r="B13">
        <v>4.5</v>
      </c>
      <c r="C13">
        <f t="shared" si="0"/>
        <v>4.7407821675643988E-2</v>
      </c>
    </row>
    <row r="14" spans="1:3">
      <c r="B14">
        <v>5</v>
      </c>
      <c r="C14">
        <f t="shared" si="0"/>
        <v>4.8127136789943917E-2</v>
      </c>
    </row>
    <row r="15" spans="1:3">
      <c r="B15">
        <v>5.5</v>
      </c>
      <c r="C15">
        <f t="shared" si="0"/>
        <v>4.8709368054245958E-2</v>
      </c>
    </row>
    <row r="16" spans="1:3">
      <c r="B16">
        <v>6</v>
      </c>
      <c r="C16">
        <f t="shared" si="0"/>
        <v>4.9170939843820621E-2</v>
      </c>
    </row>
    <row r="17" spans="1:3">
      <c r="B17">
        <v>6.5</v>
      </c>
      <c r="C17">
        <f t="shared" si="0"/>
        <v>4.9526501483142998E-2</v>
      </c>
    </row>
    <row r="18" spans="1:3">
      <c r="B18">
        <v>7</v>
      </c>
      <c r="C18">
        <f t="shared" si="0"/>
        <v>4.9789111531552972E-2</v>
      </c>
    </row>
    <row r="19" spans="1:3">
      <c r="B19">
        <v>7.5</v>
      </c>
      <c r="C19">
        <f t="shared" si="0"/>
        <v>4.9970403311272414E-2</v>
      </c>
    </row>
    <row r="20" spans="1:3">
      <c r="B20">
        <v>8</v>
      </c>
      <c r="C20">
        <f t="shared" si="0"/>
        <v>5.0080733565800166E-2</v>
      </c>
    </row>
    <row r="21" spans="1:3">
      <c r="B21">
        <v>8.5</v>
      </c>
      <c r="C21">
        <f t="shared" si="0"/>
        <v>5.0129315947982617E-2</v>
      </c>
    </row>
    <row r="22" spans="1:3">
      <c r="B22">
        <v>9</v>
      </c>
      <c r="C22">
        <f t="shared" si="0"/>
        <v>5.0124340867112128E-2</v>
      </c>
    </row>
    <row r="23" spans="1:3">
      <c r="B23">
        <v>9.5</v>
      </c>
      <c r="C23">
        <f t="shared" si="0"/>
        <v>5.007308307137643E-2</v>
      </c>
    </row>
    <row r="24" spans="1:3">
      <c r="B24">
        <v>10</v>
      </c>
      <c r="C24">
        <f t="shared" si="0"/>
        <v>4.9981998204189554E-2</v>
      </c>
    </row>
    <row r="30" spans="1:3">
      <c r="A30" t="s">
        <v>111</v>
      </c>
      <c r="B30" s="5" t="s">
        <v>112</v>
      </c>
      <c r="C30" t="s">
        <v>113</v>
      </c>
    </row>
    <row r="31" spans="1:3">
      <c r="A31">
        <v>3.08679025520768E-2</v>
      </c>
      <c r="B31">
        <v>0.5</v>
      </c>
      <c r="C31">
        <f>$A$31+($A$32+$A$33)*((1-EXP(-B31/$A$34))/(B31/$A$34))-$A$33*EXP(-B31/$A$34)</f>
        <v>4.2514480310755998E-2</v>
      </c>
    </row>
    <row r="32" spans="1:3">
      <c r="A32">
        <v>0</v>
      </c>
      <c r="B32">
        <v>1</v>
      </c>
      <c r="C32">
        <f t="shared" ref="C32:C50" si="1">$A$31+($A$32+$A$33)*((1-EXP(-B32/$A$34))/(B32/$A$34))-$A$33*EXP(-B32/$A$34)</f>
        <v>4.7926482925209304E-2</v>
      </c>
    </row>
    <row r="33" spans="1:3">
      <c r="A33">
        <v>6.4556873375278642E-2</v>
      </c>
      <c r="B33">
        <v>1.5</v>
      </c>
      <c r="C33">
        <f t="shared" si="1"/>
        <v>4.9898175644082852E-2</v>
      </c>
    </row>
    <row r="34" spans="1:3">
      <c r="A34">
        <v>1</v>
      </c>
      <c r="B34">
        <v>2</v>
      </c>
      <c r="C34">
        <f t="shared" si="1"/>
        <v>5.0041105125045907E-2</v>
      </c>
    </row>
    <row r="35" spans="1:3">
      <c r="B35">
        <v>2.5</v>
      </c>
      <c r="C35">
        <f t="shared" si="1"/>
        <v>4.9271840695146119E-2</v>
      </c>
    </row>
    <row r="36" spans="1:3">
      <c r="B36">
        <v>3</v>
      </c>
      <c r="C36">
        <f t="shared" si="1"/>
        <v>4.8101397052702305E-2</v>
      </c>
    </row>
    <row r="37" spans="1:3">
      <c r="B37">
        <v>3.5</v>
      </c>
      <c r="C37">
        <f t="shared" si="1"/>
        <v>4.6806289527765811E-2</v>
      </c>
    </row>
    <row r="38" spans="1:3">
      <c r="B38">
        <v>4</v>
      </c>
      <c r="C38">
        <f t="shared" si="1"/>
        <v>4.5529120420237289E-2</v>
      </c>
    </row>
    <row r="39" spans="1:3">
      <c r="B39">
        <v>4.5</v>
      </c>
      <c r="C39">
        <f t="shared" si="1"/>
        <v>4.433734297866062E-2</v>
      </c>
    </row>
    <row r="40" spans="1:3">
      <c r="B40">
        <v>5</v>
      </c>
      <c r="C40">
        <f t="shared" si="1"/>
        <v>4.3257300277657368E-2</v>
      </c>
    </row>
    <row r="41" spans="1:3">
      <c r="B41">
        <v>5.5</v>
      </c>
      <c r="C41">
        <f t="shared" si="1"/>
        <v>4.2293717763812355E-2</v>
      </c>
    </row>
    <row r="42" spans="1:3">
      <c r="B42">
        <v>6</v>
      </c>
      <c r="C42">
        <f t="shared" si="1"/>
        <v>4.1440690875825872E-2</v>
      </c>
    </row>
    <row r="43" spans="1:3">
      <c r="B43">
        <v>6.5</v>
      </c>
      <c r="C43">
        <f t="shared" si="1"/>
        <v>4.0687739994109878E-2</v>
      </c>
    </row>
    <row r="44" spans="1:3">
      <c r="B44">
        <v>7</v>
      </c>
      <c r="C44">
        <f t="shared" si="1"/>
        <v>4.0023035035878313E-2</v>
      </c>
    </row>
    <row r="45" spans="1:3">
      <c r="B45">
        <v>7.5</v>
      </c>
      <c r="C45">
        <f t="shared" si="1"/>
        <v>3.9435019551444545E-2</v>
      </c>
    </row>
    <row r="46" spans="1:3">
      <c r="B46">
        <v>8</v>
      </c>
      <c r="C46">
        <f t="shared" si="1"/>
        <v>3.8913148253296032E-2</v>
      </c>
    </row>
    <row r="47" spans="1:3">
      <c r="B47">
        <v>8.5</v>
      </c>
      <c r="C47">
        <f t="shared" si="1"/>
        <v>3.8448148222524417E-2</v>
      </c>
    </row>
    <row r="48" spans="1:3">
      <c r="B48">
        <v>9</v>
      </c>
      <c r="C48">
        <f t="shared" si="1"/>
        <v>3.8032036314779215E-2</v>
      </c>
    </row>
    <row r="49" spans="2:3">
      <c r="B49">
        <v>9.5</v>
      </c>
      <c r="C49">
        <f t="shared" si="1"/>
        <v>3.7658022054622792E-2</v>
      </c>
    </row>
    <row r="50" spans="2:3">
      <c r="B50">
        <v>10</v>
      </c>
      <c r="C50">
        <f t="shared" si="1"/>
        <v>3.7320365924336046E-2</v>
      </c>
    </row>
  </sheetData>
  <pageMargins left="0.7" right="0.7" top="0.75" bottom="0.75" header="0.3" footer="0.3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R77"/>
  <sheetViews>
    <sheetView workbookViewId="0">
      <selection activeCell="D76" sqref="D76"/>
    </sheetView>
  </sheetViews>
  <sheetFormatPr baseColWidth="10" defaultColWidth="8.7109375" defaultRowHeight="13"/>
  <cols>
    <col min="5" max="5" width="0" hidden="1" customWidth="1"/>
    <col min="8" max="8" width="12.5703125" customWidth="1"/>
  </cols>
  <sheetData>
    <row r="1" spans="1:11">
      <c r="A1" s="6" t="s">
        <v>43</v>
      </c>
    </row>
    <row r="4" spans="1:11">
      <c r="A4" s="6" t="s">
        <v>44</v>
      </c>
      <c r="B4" s="6"/>
    </row>
    <row r="5" spans="1:11">
      <c r="A5" s="6" t="s">
        <v>45</v>
      </c>
    </row>
    <row r="7" spans="1:11" hidden="1"/>
    <row r="8" spans="1:11">
      <c r="A8" s="6" t="s">
        <v>46</v>
      </c>
      <c r="F8" s="6" t="s">
        <v>47</v>
      </c>
      <c r="G8">
        <f>-1/7.5</f>
        <v>-0.13333333333333333</v>
      </c>
      <c r="H8" s="8" t="s">
        <v>48</v>
      </c>
      <c r="I8">
        <f>-1.6/0.027</f>
        <v>-59.259259259259267</v>
      </c>
      <c r="J8" s="8" t="s">
        <v>49</v>
      </c>
      <c r="K8">
        <f>G8*I8</f>
        <v>7.901234567901235</v>
      </c>
    </row>
    <row r="13" spans="1:11">
      <c r="A13" s="6" t="s">
        <v>50</v>
      </c>
    </row>
    <row r="15" spans="1:11">
      <c r="A15" s="6" t="s">
        <v>51</v>
      </c>
    </row>
    <row r="18" spans="1:11">
      <c r="A18" s="6" t="s">
        <v>52</v>
      </c>
    </row>
    <row r="19" spans="1:11">
      <c r="A19" s="6" t="s">
        <v>53</v>
      </c>
      <c r="B19">
        <v>20.5</v>
      </c>
    </row>
    <row r="20" spans="1:11">
      <c r="A20" s="6" t="s">
        <v>54</v>
      </c>
      <c r="B20">
        <v>7.5</v>
      </c>
    </row>
    <row r="21" spans="1:11">
      <c r="A21" s="6" t="s">
        <v>55</v>
      </c>
      <c r="B21">
        <f>B19-B20</f>
        <v>13</v>
      </c>
    </row>
    <row r="23" spans="1:11">
      <c r="A23" s="6" t="s">
        <v>56</v>
      </c>
    </row>
    <row r="24" spans="1:11">
      <c r="G24">
        <f>-1/B19</f>
        <v>-4.878048780487805E-2</v>
      </c>
      <c r="H24" s="8" t="s">
        <v>48</v>
      </c>
      <c r="I24">
        <f>-1.6/0.027</f>
        <v>-59.259259259259267</v>
      </c>
      <c r="J24" s="8" t="s">
        <v>49</v>
      </c>
      <c r="K24">
        <f>G24*I24</f>
        <v>2.8906955736224034</v>
      </c>
    </row>
    <row r="25" spans="1:11" hidden="1">
      <c r="A25" s="6" t="s">
        <v>57</v>
      </c>
      <c r="G25">
        <f>-1/B19</f>
        <v>-4.878048780487805E-2</v>
      </c>
      <c r="H25" s="8" t="s">
        <v>48</v>
      </c>
    </row>
    <row r="27" spans="1:11">
      <c r="A27" s="6" t="s">
        <v>58</v>
      </c>
      <c r="I27">
        <f>K24</f>
        <v>2.8906955736224034</v>
      </c>
      <c r="J27" s="6" t="s">
        <v>59</v>
      </c>
      <c r="K27">
        <f>K8</f>
        <v>7.901234567901235</v>
      </c>
    </row>
    <row r="31" spans="1:11" hidden="1">
      <c r="A31" s="6" t="s">
        <v>60</v>
      </c>
    </row>
    <row r="32" spans="1:11">
      <c r="A32" s="6" t="s">
        <v>28</v>
      </c>
      <c r="I32">
        <f>K24*0.027*-B20</f>
        <v>-0.58536585365853666</v>
      </c>
      <c r="J32" s="6" t="s">
        <v>61</v>
      </c>
    </row>
    <row r="34" spans="1:16">
      <c r="A34" s="6" t="s">
        <v>62</v>
      </c>
    </row>
    <row r="35" spans="1:16">
      <c r="A35" s="6" t="s">
        <v>63</v>
      </c>
      <c r="F35">
        <v>3</v>
      </c>
    </row>
    <row r="36" spans="1:16">
      <c r="A36" s="6" t="s">
        <v>64</v>
      </c>
      <c r="F36">
        <v>1</v>
      </c>
      <c r="G36" s="6" t="s">
        <v>65</v>
      </c>
    </row>
    <row r="37" spans="1:16">
      <c r="A37" s="6" t="s">
        <v>68</v>
      </c>
      <c r="F37">
        <f>P38</f>
        <v>2.6684261163242846</v>
      </c>
      <c r="H37" s="6" t="s">
        <v>66</v>
      </c>
    </row>
    <row r="38" spans="1:16">
      <c r="P38" s="2">
        <f>(1*'OC 1'!N11+2*'OC 1'!N20+3*'OC 1'!N34)/'OC 1'!N56</f>
        <v>2.6684261163242846</v>
      </c>
    </row>
    <row r="39" spans="1:16">
      <c r="A39" s="6" t="s">
        <v>67</v>
      </c>
    </row>
    <row r="40" spans="1:16">
      <c r="A40">
        <f>'OC 1'!D55/'OC 1'!D63*F35</f>
        <v>2.2563078256774816</v>
      </c>
      <c r="B40" s="8" t="s">
        <v>69</v>
      </c>
      <c r="C40">
        <f>'OC 1'!D56/'OC 1'!D63*'OC 2'!F37</f>
        <v>2.9563198262169657</v>
      </c>
      <c r="D40" s="8" t="s">
        <v>71</v>
      </c>
      <c r="F40">
        <f>-100/'OC 1'!D63*F36</f>
        <v>-0.85999156532340082</v>
      </c>
      <c r="G40" s="8" t="s">
        <v>49</v>
      </c>
      <c r="H40">
        <f>A40+C40+F40</f>
        <v>4.3526360865710467</v>
      </c>
    </row>
    <row r="42" spans="1:16">
      <c r="A42" s="6" t="s">
        <v>72</v>
      </c>
    </row>
    <row r="43" spans="1:16">
      <c r="A43" s="6" t="s">
        <v>73</v>
      </c>
    </row>
    <row r="44" spans="1:16">
      <c r="B44" s="7" t="s">
        <v>74</v>
      </c>
    </row>
    <row r="46" spans="1:16">
      <c r="A46" s="6" t="s">
        <v>75</v>
      </c>
    </row>
    <row r="47" spans="1:16">
      <c r="B47" s="7" t="s">
        <v>76</v>
      </c>
    </row>
    <row r="49" spans="1:18">
      <c r="A49" s="6" t="s">
        <v>23</v>
      </c>
    </row>
    <row r="52" spans="1:18">
      <c r="A52" s="6" t="s">
        <v>24</v>
      </c>
    </row>
    <row r="54" spans="1:18">
      <c r="A54" s="6" t="s">
        <v>25</v>
      </c>
      <c r="H54">
        <v>1</v>
      </c>
      <c r="I54" s="8" t="s">
        <v>48</v>
      </c>
      <c r="J54">
        <f>25*0.5*('OC 1'!G11+'OC 1'!H11)</f>
        <v>24.104129267007824</v>
      </c>
      <c r="K54" s="9" t="s">
        <v>49</v>
      </c>
      <c r="L54">
        <f>H54*J54</f>
        <v>24.104129267007824</v>
      </c>
    </row>
    <row r="55" spans="1:18">
      <c r="H55">
        <v>2</v>
      </c>
      <c r="I55" s="8" t="s">
        <v>48</v>
      </c>
      <c r="J55">
        <f>25*0.5*('OC 1'!G20+'OC 1'!H20)</f>
        <v>22.983727311724287</v>
      </c>
      <c r="K55" s="9" t="s">
        <v>49</v>
      </c>
      <c r="L55">
        <f t="shared" ref="L55:L56" si="0">H55*J55</f>
        <v>45.967454623448575</v>
      </c>
    </row>
    <row r="56" spans="1:18">
      <c r="H56">
        <v>3</v>
      </c>
      <c r="I56" s="8" t="s">
        <v>48</v>
      </c>
      <c r="J56" s="6">
        <f>125*0.5*('OC 1'!G34+'OC 1'!H34)</f>
        <v>109.31831178430387</v>
      </c>
      <c r="K56" s="9" t="s">
        <v>49</v>
      </c>
      <c r="L56">
        <f t="shared" si="0"/>
        <v>327.9549353529116</v>
      </c>
    </row>
    <row r="57" spans="1:18">
      <c r="L57">
        <f>SUM(L54:L56)</f>
        <v>398.026519243368</v>
      </c>
    </row>
    <row r="58" spans="1:18">
      <c r="M58">
        <f>'OC 1'!C128</f>
        <v>156.40616836303599</v>
      </c>
    </row>
    <row r="59" spans="1:18">
      <c r="N59" s="2">
        <f>L57/M58</f>
        <v>2.5448262265430892</v>
      </c>
      <c r="O59" s="6" t="s">
        <v>26</v>
      </c>
    </row>
    <row r="60" spans="1:18">
      <c r="A60" s="6" t="s">
        <v>27</v>
      </c>
      <c r="F60" s="5">
        <f>'OC 1'!C127/'OC 1'!C131</f>
        <v>1.3319778892810747</v>
      </c>
      <c r="G60" s="8" t="s">
        <v>48</v>
      </c>
      <c r="H60" s="5">
        <v>3</v>
      </c>
      <c r="I60" s="9" t="s">
        <v>71</v>
      </c>
      <c r="J60" s="5">
        <f>'OC 1'!C128/'OC 1'!C131</f>
        <v>1.1910719405466148</v>
      </c>
      <c r="K60" s="8" t="s">
        <v>48</v>
      </c>
      <c r="L60" s="5">
        <f>N59</f>
        <v>2.5448262265430892</v>
      </c>
      <c r="M60" s="8" t="s">
        <v>70</v>
      </c>
      <c r="N60" s="5">
        <v>1</v>
      </c>
      <c r="O60" s="8" t="s">
        <v>48</v>
      </c>
      <c r="P60" s="5">
        <f>'OC 1'!C129/'OC 1'!C131</f>
        <v>1.5230498298276898</v>
      </c>
      <c r="Q60" s="9" t="s">
        <v>49</v>
      </c>
      <c r="R60" s="2">
        <f>F60*H60+J60*L60-N60*P60</f>
        <v>5.5039549500181311</v>
      </c>
    </row>
    <row r="63" spans="1:18">
      <c r="A63" s="6" t="s">
        <v>29</v>
      </c>
      <c r="I63">
        <v>2.8</v>
      </c>
    </row>
    <row r="64" spans="1:18">
      <c r="A64" s="6" t="s">
        <v>30</v>
      </c>
    </row>
    <row r="66" spans="1:17">
      <c r="A66" s="6" t="s">
        <v>31</v>
      </c>
      <c r="H66">
        <f>K24</f>
        <v>2.8906955736224034</v>
      </c>
    </row>
    <row r="67" spans="1:17">
      <c r="A67" s="6" t="s">
        <v>32</v>
      </c>
      <c r="F67">
        <f>2.8/B19</f>
        <v>0.13658536585365852</v>
      </c>
      <c r="G67" s="6" t="s">
        <v>33</v>
      </c>
    </row>
    <row r="68" spans="1:17">
      <c r="A68" s="6" t="s">
        <v>34</v>
      </c>
      <c r="I68">
        <f>1-F67</f>
        <v>0.86341463414634145</v>
      </c>
    </row>
    <row r="70" spans="1:17">
      <c r="A70">
        <f>H66-F67*R60</f>
        <v>2.1389358731321222</v>
      </c>
      <c r="B70">
        <f>A70/I68</f>
        <v>2.4772986101247745</v>
      </c>
      <c r="C70" s="7" t="s">
        <v>35</v>
      </c>
    </row>
    <row r="72" spans="1:17">
      <c r="A72" s="6" t="s">
        <v>36</v>
      </c>
      <c r="Q72">
        <f>I63/B20*R60+(B20-I63)/B20*B70</f>
        <v>3.6072503103516276</v>
      </c>
    </row>
    <row r="74" spans="1:17">
      <c r="A74" s="6" t="s">
        <v>37</v>
      </c>
    </row>
    <row r="76" spans="1:17">
      <c r="D76">
        <f>Q72*0.027*-B20</f>
        <v>-0.7304681878462046</v>
      </c>
      <c r="F76" s="6" t="s">
        <v>61</v>
      </c>
    </row>
    <row r="77" spans="1:17">
      <c r="F77" s="6" t="s">
        <v>38</v>
      </c>
    </row>
  </sheetData>
  <phoneticPr fontId="3" type="noConversion"/>
  <pageMargins left="0.7" right="0.7" top="0.75" bottom="0.75" header="0.3" footer="0.3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I28"/>
  <sheetViews>
    <sheetView tabSelected="1" workbookViewId="0">
      <selection activeCell="A30" sqref="A30"/>
    </sheetView>
  </sheetViews>
  <sheetFormatPr baseColWidth="10" defaultRowHeight="13"/>
  <cols>
    <col min="2" max="2" width="14" customWidth="1"/>
    <col min="7" max="7" width="12.5703125" customWidth="1"/>
  </cols>
  <sheetData>
    <row r="1" spans="1:8">
      <c r="A1" t="s">
        <v>39</v>
      </c>
    </row>
    <row r="4" spans="1:8">
      <c r="A4" t="s">
        <v>40</v>
      </c>
    </row>
    <row r="5" spans="1:8">
      <c r="A5" t="s">
        <v>3</v>
      </c>
    </row>
    <row r="6" spans="1:8">
      <c r="A6" t="s">
        <v>4</v>
      </c>
    </row>
    <row r="7" spans="1:8">
      <c r="A7" t="s">
        <v>5</v>
      </c>
    </row>
    <row r="8" spans="1:8">
      <c r="B8" t="s">
        <v>6</v>
      </c>
      <c r="C8">
        <v>5</v>
      </c>
    </row>
    <row r="9" spans="1:8">
      <c r="B9" t="s">
        <v>7</v>
      </c>
      <c r="C9" t="s">
        <v>8</v>
      </c>
    </row>
    <row r="10" spans="1:8">
      <c r="B10" t="s">
        <v>9</v>
      </c>
      <c r="C10" t="s">
        <v>10</v>
      </c>
    </row>
    <row r="11" spans="1:8">
      <c r="B11" t="s">
        <v>11</v>
      </c>
      <c r="C11" s="1">
        <v>40830</v>
      </c>
    </row>
    <row r="12" spans="1:8">
      <c r="B12" t="s">
        <v>12</v>
      </c>
      <c r="C12" t="s">
        <v>13</v>
      </c>
    </row>
    <row r="13" spans="1:8">
      <c r="B13" t="s">
        <v>14</v>
      </c>
      <c r="C13" t="s">
        <v>15</v>
      </c>
    </row>
    <row r="14" spans="1:8">
      <c r="B14" t="s">
        <v>16</v>
      </c>
      <c r="C14" t="s">
        <v>17</v>
      </c>
    </row>
    <row r="16" spans="1:8">
      <c r="A16" t="s">
        <v>18</v>
      </c>
      <c r="G16">
        <v>1.4500000000000001E-2</v>
      </c>
      <c r="H16">
        <v>1.6500000000000001E-2</v>
      </c>
    </row>
    <row r="17" spans="1:9">
      <c r="A17" t="s">
        <v>19</v>
      </c>
      <c r="G17" s="1">
        <v>40922</v>
      </c>
    </row>
    <row r="18" spans="1:9">
      <c r="G18">
        <f>(G17-C11)/360</f>
        <v>0.25555555555555554</v>
      </c>
    </row>
    <row r="19" spans="1:9">
      <c r="G19">
        <f>G18*(G16+H16)</f>
        <v>7.9222222222222211E-3</v>
      </c>
    </row>
    <row r="20" spans="1:9">
      <c r="B20" t="s">
        <v>20</v>
      </c>
      <c r="H20">
        <f>G19*100</f>
        <v>0.79222222222222216</v>
      </c>
      <c r="I20" t="s">
        <v>21</v>
      </c>
    </row>
    <row r="22" spans="1:9">
      <c r="B22" t="s">
        <v>22</v>
      </c>
    </row>
    <row r="24" spans="1:9">
      <c r="A24" t="s">
        <v>0</v>
      </c>
    </row>
    <row r="26" spans="1:9">
      <c r="A26" t="s">
        <v>2</v>
      </c>
    </row>
    <row r="28" spans="1:9">
      <c r="A28" t="s">
        <v>1</v>
      </c>
    </row>
  </sheetData>
  <phoneticPr fontId="3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OC 1</vt:lpstr>
      <vt:lpstr>NS P1</vt:lpstr>
      <vt:lpstr>NS P2</vt:lpstr>
      <vt:lpstr>NS P3</vt:lpstr>
      <vt:lpstr>NS P4</vt:lpstr>
      <vt:lpstr>OC 2</vt:lpstr>
      <vt:lpstr>Floaters</vt:lpstr>
    </vt:vector>
  </TitlesOfParts>
  <Company>University of Arizona</Company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 Lamoureux</cp:lastModifiedBy>
  <dcterms:created xsi:type="dcterms:W3CDTF">2014-01-02T20:57:11Z</dcterms:created>
  <dcterms:modified xsi:type="dcterms:W3CDTF">2017-09-28T17:42:28Z</dcterms:modified>
</cp:coreProperties>
</file>